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ol\Desktop\service\Licitacoes\DEMO Manut. PCD\EDITAL\"/>
    </mc:Choice>
  </mc:AlternateContent>
  <bookViews>
    <workbookView xWindow="0" yWindow="240" windowWidth="25440" windowHeight="12195" firstSheet="10" activeTab="14"/>
  </bookViews>
  <sheets>
    <sheet name="Planilha de Custos Téc. Campo" sheetId="3" r:id="rId1"/>
    <sheet name="Planilha de Custos Téc. Interno" sheetId="15" r:id="rId2"/>
    <sheet name="Planilha de Custos Motorista" sheetId="8" r:id="rId3"/>
    <sheet name="Operador de Logística" sheetId="9" r:id="rId4"/>
    <sheet name="Operador de Rastreamento" sheetId="13" r:id="rId5"/>
    <sheet name="Supervisor de Op." sheetId="16" r:id="rId6"/>
    <sheet name="Gerente" sheetId="17" r:id="rId7"/>
    <sheet name="Veic.Tipo 1" sheetId="18" r:id="rId8"/>
    <sheet name="Veic.Tipo 2" sheetId="19" r:id="rId9"/>
    <sheet name="Tot. Veíc." sheetId="20" r:id="rId10"/>
    <sheet name="Empilhadeira" sheetId="21" r:id="rId11"/>
    <sheet name="Enc. Expressa" sheetId="22" r:id="rId12"/>
    <sheet name="Barco" sheetId="24" r:id="rId13"/>
    <sheet name="Sistemas Log." sheetId="23" r:id="rId14"/>
    <sheet name="Quadro Resumo" sheetId="7" r:id="rId15"/>
    <sheet name="Planilhas de Apoio" sheetId="4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9" l="1"/>
  <c r="C27" i="18"/>
  <c r="C9" i="19" l="1"/>
  <c r="C21" i="18"/>
  <c r="C9" i="18"/>
  <c r="E26" i="19" l="1"/>
  <c r="E26" i="18"/>
  <c r="C6" i="19" l="1"/>
  <c r="C6" i="18"/>
  <c r="C48" i="17" l="1"/>
  <c r="C15" i="17"/>
  <c r="C48" i="16" l="1"/>
  <c r="D23" i="4"/>
  <c r="F43" i="7" l="1"/>
  <c r="F44" i="7" l="1"/>
  <c r="H44" i="7" s="1"/>
  <c r="H43" i="7"/>
  <c r="J96" i="4"/>
  <c r="J95" i="4"/>
  <c r="H95" i="4"/>
  <c r="G33" i="7" l="1"/>
  <c r="G34" i="7"/>
  <c r="G35" i="7"/>
  <c r="G32" i="7"/>
  <c r="G24" i="7"/>
  <c r="G23" i="7"/>
  <c r="G18" i="7"/>
  <c r="G16" i="7"/>
  <c r="G12" i="7"/>
  <c r="C7" i="23" l="1"/>
  <c r="J105" i="4" l="1"/>
  <c r="C6" i="24"/>
  <c r="E3" i="4" l="1"/>
  <c r="B10" i="24" l="1"/>
  <c r="C7" i="24"/>
  <c r="C8" i="24" l="1"/>
  <c r="C9" i="24"/>
  <c r="B33" i="21"/>
  <c r="C30" i="21"/>
  <c r="B21" i="21"/>
  <c r="C16" i="21"/>
  <c r="C7" i="21"/>
  <c r="C13" i="24" l="1"/>
  <c r="C14" i="24"/>
  <c r="C10" i="24"/>
  <c r="C15" i="24" s="1"/>
  <c r="C39" i="7" s="1"/>
  <c r="F39" i="7" s="1"/>
  <c r="C12" i="24"/>
  <c r="C11" i="24"/>
  <c r="C17" i="21"/>
  <c r="C18" i="21" s="1"/>
  <c r="C19" i="21" s="1"/>
  <c r="C31" i="21"/>
  <c r="C32" i="21"/>
  <c r="C20" i="21"/>
  <c r="H39" i="7" l="1"/>
  <c r="F40" i="7"/>
  <c r="H40" i="7" s="1"/>
  <c r="C18" i="24"/>
  <c r="C25" i="21"/>
  <c r="C35" i="21"/>
  <c r="C36" i="21"/>
  <c r="C37" i="21"/>
  <c r="C34" i="21"/>
  <c r="C33" i="21"/>
  <c r="C38" i="21" s="1"/>
  <c r="C22" i="21"/>
  <c r="C24" i="21"/>
  <c r="C23" i="21"/>
  <c r="C21" i="21"/>
  <c r="C26" i="21"/>
  <c r="C42" i="21" l="1"/>
  <c r="C24" i="7"/>
  <c r="F24" i="7" s="1"/>
  <c r="H24" i="7" s="1"/>
  <c r="C41" i="21"/>
  <c r="C23" i="7"/>
  <c r="C43" i="21"/>
  <c r="J129" i="4" l="1"/>
  <c r="J68" i="4"/>
  <c r="J74" i="4" s="1"/>
  <c r="J104" i="4"/>
  <c r="J103" i="4"/>
  <c r="J102" i="4"/>
  <c r="J101" i="4"/>
  <c r="J97" i="4"/>
  <c r="J88" i="4"/>
  <c r="J81" i="4"/>
  <c r="J82" i="4"/>
  <c r="J83" i="4"/>
  <c r="J84" i="4"/>
  <c r="J85" i="4"/>
  <c r="J86" i="4"/>
  <c r="J87" i="4"/>
  <c r="J80" i="4"/>
  <c r="J106" i="4" l="1"/>
  <c r="J76" i="4"/>
  <c r="C111" i="3" s="1"/>
  <c r="J75" i="4"/>
  <c r="J131" i="4"/>
  <c r="C111" i="15" s="1"/>
  <c r="J130" i="4"/>
  <c r="C112" i="8"/>
  <c r="C112" i="3"/>
  <c r="J89" i="4"/>
  <c r="J90" i="4" s="1"/>
  <c r="C110" i="3" s="1"/>
  <c r="J107" i="4"/>
  <c r="C110" i="9" l="1"/>
  <c r="C110" i="15"/>
  <c r="C110" i="8"/>
  <c r="E36" i="7" l="1"/>
  <c r="G36" i="7" s="1"/>
  <c r="B11" i="23"/>
  <c r="C8" i="23"/>
  <c r="B40" i="22"/>
  <c r="D37" i="22"/>
  <c r="D38" i="22"/>
  <c r="D39" i="22"/>
  <c r="D36" i="22"/>
  <c r="D40" i="22" s="1"/>
  <c r="D23" i="22"/>
  <c r="D22" i="22"/>
  <c r="D21" i="22"/>
  <c r="D20" i="22"/>
  <c r="D24" i="22" s="1"/>
  <c r="D7" i="22"/>
  <c r="D6" i="22"/>
  <c r="D5" i="22"/>
  <c r="D4" i="22"/>
  <c r="C20" i="22"/>
  <c r="B27" i="22"/>
  <c r="B11" i="22"/>
  <c r="C7" i="22"/>
  <c r="C23" i="22"/>
  <c r="C6" i="22"/>
  <c r="C22" i="22"/>
  <c r="C5" i="22"/>
  <c r="C21" i="22"/>
  <c r="C4" i="22"/>
  <c r="B31" i="19"/>
  <c r="C26" i="19"/>
  <c r="E25" i="19"/>
  <c r="C25" i="19"/>
  <c r="E24" i="19"/>
  <c r="C24" i="19" s="1"/>
  <c r="E23" i="19"/>
  <c r="D22" i="19"/>
  <c r="C22" i="19" s="1"/>
  <c r="C28" i="19" s="1"/>
  <c r="E21" i="19"/>
  <c r="C21" i="19" s="1"/>
  <c r="B13" i="19"/>
  <c r="C10" i="19"/>
  <c r="C12" i="19" s="1"/>
  <c r="B31" i="18"/>
  <c r="C26" i="18"/>
  <c r="C25" i="18"/>
  <c r="C24" i="18"/>
  <c r="D22" i="18"/>
  <c r="C22" i="18" s="1"/>
  <c r="C28" i="18" s="1"/>
  <c r="B13" i="18"/>
  <c r="C10" i="18"/>
  <c r="C12" i="18" s="1"/>
  <c r="B12" i="4"/>
  <c r="E12" i="7"/>
  <c r="C17" i="17"/>
  <c r="C122" i="17"/>
  <c r="C127" i="17" s="1"/>
  <c r="C102" i="17"/>
  <c r="C73" i="17"/>
  <c r="C68" i="17"/>
  <c r="C41" i="17"/>
  <c r="C27" i="17"/>
  <c r="C25" i="17"/>
  <c r="C17" i="16"/>
  <c r="B13" i="4" s="1"/>
  <c r="E13" i="4" s="1"/>
  <c r="C18" i="4" s="1"/>
  <c r="C122" i="16"/>
  <c r="C127" i="16" s="1"/>
  <c r="C102" i="16"/>
  <c r="C73" i="16"/>
  <c r="C68" i="16"/>
  <c r="C41" i="16"/>
  <c r="C27" i="16"/>
  <c r="C25" i="16"/>
  <c r="C122" i="15"/>
  <c r="C127" i="15" s="1"/>
  <c r="C102" i="15"/>
  <c r="C68" i="15"/>
  <c r="C73" i="15" s="1"/>
  <c r="C41" i="15"/>
  <c r="C27" i="15"/>
  <c r="C25" i="15"/>
  <c r="C17" i="15"/>
  <c r="C122" i="13"/>
  <c r="C127" i="13" s="1"/>
  <c r="C102" i="13"/>
  <c r="C73" i="13"/>
  <c r="C68" i="13"/>
  <c r="C41" i="13"/>
  <c r="C27" i="13"/>
  <c r="C25" i="13"/>
  <c r="C17" i="13"/>
  <c r="D87" i="13" s="1"/>
  <c r="D22" i="4"/>
  <c r="C16" i="8"/>
  <c r="C51" i="8"/>
  <c r="C48" i="8" l="1"/>
  <c r="C48" i="15"/>
  <c r="C48" i="13"/>
  <c r="C48" i="3"/>
  <c r="D84" i="13"/>
  <c r="D88" i="13"/>
  <c r="C101" i="13" s="1"/>
  <c r="C103" i="13" s="1"/>
  <c r="D26" i="13"/>
  <c r="D69" i="13"/>
  <c r="C29" i="19"/>
  <c r="C51" i="3"/>
  <c r="C9" i="23"/>
  <c r="C10" i="23"/>
  <c r="D26" i="22"/>
  <c r="D25" i="22"/>
  <c r="D8" i="22"/>
  <c r="C8" i="22"/>
  <c r="C9" i="22" s="1"/>
  <c r="C24" i="22"/>
  <c r="C26" i="22" s="1"/>
  <c r="D9" i="22"/>
  <c r="D10" i="22"/>
  <c r="C25" i="22"/>
  <c r="C10" i="22"/>
  <c r="C11" i="19"/>
  <c r="C16" i="19" s="1"/>
  <c r="C11" i="18"/>
  <c r="D87" i="17"/>
  <c r="D83" i="17"/>
  <c r="D72" i="17"/>
  <c r="D68" i="17"/>
  <c r="D25" i="17"/>
  <c r="D86" i="17"/>
  <c r="D82" i="17"/>
  <c r="D71" i="17"/>
  <c r="D27" i="17"/>
  <c r="C133" i="17"/>
  <c r="D85" i="17"/>
  <c r="D73" i="17"/>
  <c r="C135" i="17" s="1"/>
  <c r="D70" i="17"/>
  <c r="D67" i="17"/>
  <c r="D88" i="17"/>
  <c r="D84" i="17"/>
  <c r="D69" i="17"/>
  <c r="D26" i="17"/>
  <c r="D67" i="16"/>
  <c r="D70" i="16"/>
  <c r="D73" i="16"/>
  <c r="C135" i="16" s="1"/>
  <c r="D85" i="16"/>
  <c r="C133" i="16"/>
  <c r="D27" i="16"/>
  <c r="D71" i="16"/>
  <c r="D82" i="16"/>
  <c r="D86" i="16"/>
  <c r="D25" i="16"/>
  <c r="D68" i="16"/>
  <c r="D72" i="16"/>
  <c r="D83" i="16"/>
  <c r="D87" i="16"/>
  <c r="D26" i="16"/>
  <c r="D69" i="16"/>
  <c r="D84" i="16"/>
  <c r="D88" i="16"/>
  <c r="D73" i="15"/>
  <c r="C135" i="15" s="1"/>
  <c r="D71" i="15"/>
  <c r="D82" i="15"/>
  <c r="D86" i="15"/>
  <c r="D67" i="15"/>
  <c r="D25" i="15"/>
  <c r="D68" i="15"/>
  <c r="D72" i="15"/>
  <c r="D83" i="15"/>
  <c r="D87" i="15"/>
  <c r="D70" i="15"/>
  <c r="D85" i="15"/>
  <c r="C133" i="15"/>
  <c r="D27" i="15"/>
  <c r="D26" i="15"/>
  <c r="D69" i="15"/>
  <c r="D84" i="15"/>
  <c r="D88" i="15"/>
  <c r="D67" i="13"/>
  <c r="D70" i="13"/>
  <c r="D73" i="13"/>
  <c r="C135" i="13" s="1"/>
  <c r="D85" i="13"/>
  <c r="C133" i="13"/>
  <c r="D27" i="13"/>
  <c r="D71" i="13"/>
  <c r="D82" i="13"/>
  <c r="D86" i="13"/>
  <c r="D25" i="13"/>
  <c r="D68" i="13"/>
  <c r="D72" i="13"/>
  <c r="D83" i="13"/>
  <c r="E12" i="4"/>
  <c r="C30" i="19" l="1"/>
  <c r="C34" i="19" s="1"/>
  <c r="C136" i="13"/>
  <c r="C32" i="19"/>
  <c r="C31" i="19"/>
  <c r="C36" i="19" s="1"/>
  <c r="C37" i="19" s="1"/>
  <c r="C18" i="19"/>
  <c r="C11" i="23"/>
  <c r="C16" i="23" s="1"/>
  <c r="C14" i="23"/>
  <c r="C13" i="23"/>
  <c r="C15" i="23"/>
  <c r="C12" i="23"/>
  <c r="C29" i="22"/>
  <c r="D27" i="22"/>
  <c r="D32" i="22" s="1"/>
  <c r="D30" i="22"/>
  <c r="D28" i="22"/>
  <c r="D31" i="22"/>
  <c r="D29" i="22"/>
  <c r="D11" i="22"/>
  <c r="D16" i="22" s="1"/>
  <c r="D14" i="22"/>
  <c r="D13" i="22"/>
  <c r="C31" i="22"/>
  <c r="D12" i="22"/>
  <c r="C27" i="22"/>
  <c r="C32" i="22" s="1"/>
  <c r="C30" i="22"/>
  <c r="D15" i="22"/>
  <c r="C11" i="22"/>
  <c r="C16" i="22" s="1"/>
  <c r="C28" i="22"/>
  <c r="C13" i="22"/>
  <c r="C15" i="22"/>
  <c r="C12" i="22"/>
  <c r="C14" i="22"/>
  <c r="C13" i="19"/>
  <c r="C14" i="19"/>
  <c r="C16" i="18"/>
  <c r="C18" i="18" s="1"/>
  <c r="C3" i="20" s="1"/>
  <c r="C13" i="18"/>
  <c r="C14" i="18"/>
  <c r="C29" i="18"/>
  <c r="C30" i="18"/>
  <c r="C17" i="4"/>
  <c r="C101" i="17"/>
  <c r="C103" i="17" s="1"/>
  <c r="C136" i="17"/>
  <c r="D37" i="17"/>
  <c r="D33" i="17"/>
  <c r="D40" i="17"/>
  <c r="D36" i="17"/>
  <c r="C58" i="17"/>
  <c r="D39" i="17"/>
  <c r="D35" i="17"/>
  <c r="D41" i="17"/>
  <c r="C59" i="17" s="1"/>
  <c r="D38" i="17"/>
  <c r="D34" i="17"/>
  <c r="C136" i="16"/>
  <c r="C101" i="16"/>
  <c r="C103" i="16" s="1"/>
  <c r="D41" i="16"/>
  <c r="C59" i="16" s="1"/>
  <c r="D38" i="16"/>
  <c r="D34" i="16"/>
  <c r="D37" i="16"/>
  <c r="D33" i="16"/>
  <c r="D40" i="16"/>
  <c r="D36" i="16"/>
  <c r="C58" i="16"/>
  <c r="D39" i="16"/>
  <c r="D35" i="16"/>
  <c r="D41" i="15"/>
  <c r="C59" i="15" s="1"/>
  <c r="D38" i="15"/>
  <c r="D34" i="15"/>
  <c r="D37" i="15"/>
  <c r="D33" i="15"/>
  <c r="D36" i="15"/>
  <c r="D39" i="15"/>
  <c r="D40" i="15"/>
  <c r="C58" i="15"/>
  <c r="D35" i="15"/>
  <c r="C136" i="15"/>
  <c r="C101" i="15"/>
  <c r="C103" i="15" s="1"/>
  <c r="D37" i="13"/>
  <c r="D33" i="13"/>
  <c r="D40" i="13"/>
  <c r="D36" i="13"/>
  <c r="C58" i="13"/>
  <c r="D39" i="13"/>
  <c r="D35" i="13"/>
  <c r="D41" i="13"/>
  <c r="C59" i="13" s="1"/>
  <c r="D38" i="13"/>
  <c r="D34" i="13"/>
  <c r="D26" i="4"/>
  <c r="C18" i="7" l="1"/>
  <c r="F18" i="7" s="1"/>
  <c r="H18" i="7" s="1"/>
  <c r="F4" i="20"/>
  <c r="G4" i="20" s="1"/>
  <c r="H4" i="20" s="1"/>
  <c r="C17" i="7"/>
  <c r="F17" i="7" s="1"/>
  <c r="H17" i="7" s="1"/>
  <c r="C4" i="20"/>
  <c r="D4" i="20" s="1"/>
  <c r="C31" i="18"/>
  <c r="C36" i="18" s="1"/>
  <c r="C37" i="18" s="1"/>
  <c r="D3" i="20"/>
  <c r="C35" i="7"/>
  <c r="F35" i="7" s="1"/>
  <c r="C39" i="22"/>
  <c r="E39" i="22" s="1"/>
  <c r="C34" i="7"/>
  <c r="F34" i="7" s="1"/>
  <c r="H34" i="7" s="1"/>
  <c r="C38" i="22"/>
  <c r="E38" i="22" s="1"/>
  <c r="C32" i="7"/>
  <c r="F32" i="7" s="1"/>
  <c r="C36" i="22"/>
  <c r="C33" i="7"/>
  <c r="F33" i="7" s="1"/>
  <c r="H33" i="7" s="1"/>
  <c r="C37" i="22"/>
  <c r="E37" i="22" s="1"/>
  <c r="C34" i="18"/>
  <c r="C32" i="18"/>
  <c r="C50" i="9"/>
  <c r="C52" i="8"/>
  <c r="C17" i="23"/>
  <c r="C28" i="7"/>
  <c r="F28" i="7" s="1"/>
  <c r="C15" i="7"/>
  <c r="F15" i="7" s="1"/>
  <c r="C40" i="19"/>
  <c r="C122" i="9"/>
  <c r="C127" i="9" s="1"/>
  <c r="C102" i="9"/>
  <c r="C68" i="9"/>
  <c r="C73" i="9" s="1"/>
  <c r="C41" i="9"/>
  <c r="C25" i="9"/>
  <c r="C27" i="9" s="1"/>
  <c r="C17" i="9"/>
  <c r="D67" i="9" s="1"/>
  <c r="C122" i="8"/>
  <c r="C127" i="8" s="1"/>
  <c r="C102" i="8"/>
  <c r="C68" i="8"/>
  <c r="C73" i="8" s="1"/>
  <c r="C41" i="8"/>
  <c r="C25" i="8"/>
  <c r="C27" i="8" s="1"/>
  <c r="C17" i="8"/>
  <c r="D82" i="8" s="1"/>
  <c r="H32" i="7" l="1"/>
  <c r="F36" i="7"/>
  <c r="I4" i="20"/>
  <c r="J4" i="20" s="1"/>
  <c r="C5" i="20"/>
  <c r="C16" i="7"/>
  <c r="F16" i="7" s="1"/>
  <c r="H16" i="7" s="1"/>
  <c r="F3" i="20"/>
  <c r="G3" i="20" s="1"/>
  <c r="H3" i="20" s="1"/>
  <c r="H5" i="20" s="1"/>
  <c r="D5" i="20"/>
  <c r="H35" i="7"/>
  <c r="E36" i="22"/>
  <c r="E40" i="22" s="1"/>
  <c r="C40" i="22"/>
  <c r="C40" i="18"/>
  <c r="F29" i="7"/>
  <c r="H28" i="7"/>
  <c r="H29" i="7" s="1"/>
  <c r="H15" i="7"/>
  <c r="D27" i="8"/>
  <c r="D37" i="8" s="1"/>
  <c r="C133" i="9"/>
  <c r="D73" i="9"/>
  <c r="C135" i="9" s="1"/>
  <c r="D68" i="9"/>
  <c r="D83" i="9"/>
  <c r="D25" i="9"/>
  <c r="D69" i="9"/>
  <c r="D84" i="9"/>
  <c r="D26" i="9"/>
  <c r="D85" i="9"/>
  <c r="D86" i="9"/>
  <c r="D27" i="9"/>
  <c r="D72" i="9"/>
  <c r="D87" i="9"/>
  <c r="D82" i="9"/>
  <c r="D70" i="9"/>
  <c r="D71" i="9"/>
  <c r="D88" i="9"/>
  <c r="D68" i="8"/>
  <c r="D85" i="8"/>
  <c r="D25" i="8"/>
  <c r="D69" i="8"/>
  <c r="D86" i="8"/>
  <c r="D26" i="8"/>
  <c r="D70" i="8"/>
  <c r="D87" i="8"/>
  <c r="D71" i="8"/>
  <c r="D88" i="8"/>
  <c r="D72" i="8"/>
  <c r="D83" i="8"/>
  <c r="D84" i="8"/>
  <c r="D36" i="8"/>
  <c r="D35" i="8"/>
  <c r="D40" i="8"/>
  <c r="C58" i="8"/>
  <c r="D41" i="8"/>
  <c r="C59" i="8" s="1"/>
  <c r="D34" i="8"/>
  <c r="D38" i="8"/>
  <c r="D67" i="8"/>
  <c r="D73" i="8"/>
  <c r="C135" i="8" s="1"/>
  <c r="C133" i="8"/>
  <c r="H36" i="7" l="1"/>
  <c r="F19" i="7"/>
  <c r="I3" i="20"/>
  <c r="I5" i="20" s="1"/>
  <c r="H19" i="7"/>
  <c r="D33" i="8"/>
  <c r="D39" i="8"/>
  <c r="D33" i="9"/>
  <c r="D39" i="9"/>
  <c r="D38" i="9"/>
  <c r="D41" i="9"/>
  <c r="C59" i="9" s="1"/>
  <c r="D40" i="9"/>
  <c r="C58" i="9"/>
  <c r="D34" i="9"/>
  <c r="D37" i="9"/>
  <c r="D36" i="9"/>
  <c r="D35" i="9"/>
  <c r="C136" i="9"/>
  <c r="C101" i="9"/>
  <c r="C103" i="9" s="1"/>
  <c r="C101" i="8"/>
  <c r="C103" i="8" s="1"/>
  <c r="C136" i="8"/>
  <c r="J3" i="20" l="1"/>
  <c r="J5" i="20" s="1"/>
  <c r="C35" i="4"/>
  <c r="D35" i="4" s="1"/>
  <c r="C34" i="4"/>
  <c r="D34" i="4" s="1"/>
  <c r="C33" i="4"/>
  <c r="D33" i="4" s="1"/>
  <c r="C32" i="4"/>
  <c r="D32" i="4" s="1"/>
  <c r="C30" i="4"/>
  <c r="D30" i="4" s="1"/>
  <c r="C31" i="4"/>
  <c r="D31" i="4" s="1"/>
  <c r="B39" i="4" l="1"/>
  <c r="C39" i="4" s="1"/>
  <c r="C109" i="17" l="1"/>
  <c r="C113" i="17" s="1"/>
  <c r="C137" i="17" s="1"/>
  <c r="C109" i="15"/>
  <c r="C113" i="15" s="1"/>
  <c r="C137" i="15" s="1"/>
  <c r="C109" i="16"/>
  <c r="C113" i="16" s="1"/>
  <c r="C137" i="16" s="1"/>
  <c r="C109" i="13"/>
  <c r="C113" i="13" s="1"/>
  <c r="C137" i="13" s="1"/>
  <c r="C109" i="9"/>
  <c r="C113" i="9" s="1"/>
  <c r="C137" i="9" s="1"/>
  <c r="C109" i="8"/>
  <c r="C113" i="8" s="1"/>
  <c r="C137" i="8" s="1"/>
  <c r="C109" i="3"/>
  <c r="C113" i="3"/>
  <c r="C137" i="3" s="1"/>
  <c r="C122" i="3" l="1"/>
  <c r="C127" i="3" s="1"/>
  <c r="C102" i="3"/>
  <c r="C68" i="3"/>
  <c r="C73" i="3"/>
  <c r="D21" i="4"/>
  <c r="B11" i="4"/>
  <c r="E11" i="4" s="1"/>
  <c r="C16" i="4" s="1"/>
  <c r="E7" i="4"/>
  <c r="B18" i="4" s="1"/>
  <c r="D18" i="4" s="1"/>
  <c r="C41" i="3"/>
  <c r="C47" i="16" l="1"/>
  <c r="C47" i="17"/>
  <c r="B16" i="4"/>
  <c r="D16" i="4" s="1"/>
  <c r="C47" i="15" s="1"/>
  <c r="B17" i="4"/>
  <c r="D17" i="4" s="1"/>
  <c r="C48" i="9"/>
  <c r="C52" i="3"/>
  <c r="C52" i="15" l="1"/>
  <c r="C60" i="15" s="1"/>
  <c r="C61" i="15" s="1"/>
  <c r="C134" i="15" s="1"/>
  <c r="C138" i="15" s="1"/>
  <c r="C47" i="9"/>
  <c r="C52" i="9" s="1"/>
  <c r="C60" i="9" s="1"/>
  <c r="C61" i="9" s="1"/>
  <c r="C52" i="16"/>
  <c r="C60" i="16" s="1"/>
  <c r="C61" i="16" s="1"/>
  <c r="C52" i="17"/>
  <c r="C60" i="17" s="1"/>
  <c r="C61" i="17" s="1"/>
  <c r="C47" i="13"/>
  <c r="C52" i="13" s="1"/>
  <c r="C60" i="13" s="1"/>
  <c r="C61" i="13" s="1"/>
  <c r="C60" i="8"/>
  <c r="C61" i="8" s="1"/>
  <c r="C60" i="3"/>
  <c r="C25" i="3"/>
  <c r="C27" i="3" s="1"/>
  <c r="C17" i="3"/>
  <c r="D121" i="15" l="1"/>
  <c r="C134" i="13"/>
  <c r="C138" i="13" s="1"/>
  <c r="D121" i="13"/>
  <c r="D121" i="17"/>
  <c r="C134" i="17"/>
  <c r="C138" i="17" s="1"/>
  <c r="C134" i="16"/>
  <c r="C138" i="16" s="1"/>
  <c r="D121" i="16"/>
  <c r="D119" i="15"/>
  <c r="D120" i="15" s="1"/>
  <c r="D122" i="15" s="1"/>
  <c r="C134" i="9"/>
  <c r="C138" i="9" s="1"/>
  <c r="D121" i="9"/>
  <c r="D121" i="8"/>
  <c r="C134" i="8"/>
  <c r="C138" i="8" s="1"/>
  <c r="D83" i="3"/>
  <c r="D69" i="3"/>
  <c r="D68" i="3"/>
  <c r="D84" i="3"/>
  <c r="D70" i="3"/>
  <c r="D85" i="3"/>
  <c r="D71" i="3"/>
  <c r="D86" i="3"/>
  <c r="D72" i="3"/>
  <c r="D67" i="3"/>
  <c r="D88" i="3"/>
  <c r="C136" i="3" s="1"/>
  <c r="D82" i="3"/>
  <c r="C133" i="3"/>
  <c r="D87" i="3"/>
  <c r="D73" i="3"/>
  <c r="C135" i="3" s="1"/>
  <c r="D27" i="3"/>
  <c r="D39" i="3" s="1"/>
  <c r="D26" i="3"/>
  <c r="D25" i="3"/>
  <c r="D119" i="17" l="1"/>
  <c r="D123" i="15"/>
  <c r="D126" i="15"/>
  <c r="D119" i="16"/>
  <c r="D120" i="16" s="1"/>
  <c r="D119" i="13"/>
  <c r="D124" i="15"/>
  <c r="D125" i="15"/>
  <c r="D38" i="3"/>
  <c r="D37" i="3"/>
  <c r="D119" i="8"/>
  <c r="D120" i="8" s="1"/>
  <c r="D119" i="9"/>
  <c r="C58" i="3"/>
  <c r="D36" i="3"/>
  <c r="D35" i="3"/>
  <c r="D41" i="3"/>
  <c r="C59" i="3" s="1"/>
  <c r="D33" i="3"/>
  <c r="D40" i="3"/>
  <c r="D34" i="3"/>
  <c r="D127" i="15" l="1"/>
  <c r="C139" i="15" s="1"/>
  <c r="C140" i="15" s="1"/>
  <c r="C9" i="7" s="1"/>
  <c r="F9" i="7" s="1"/>
  <c r="H9" i="7" s="1"/>
  <c r="D123" i="16"/>
  <c r="D126" i="16"/>
  <c r="D122" i="16"/>
  <c r="D124" i="16"/>
  <c r="D120" i="13"/>
  <c r="D125" i="16"/>
  <c r="D120" i="17"/>
  <c r="D126" i="17" s="1"/>
  <c r="C61" i="3"/>
  <c r="C134" i="3" s="1"/>
  <c r="C138" i="3" s="1"/>
  <c r="D119" i="3" s="1"/>
  <c r="D125" i="8"/>
  <c r="D123" i="8"/>
  <c r="D124" i="8"/>
  <c r="D126" i="8"/>
  <c r="D122" i="8"/>
  <c r="D120" i="9"/>
  <c r="D126" i="9" s="1"/>
  <c r="C101" i="3"/>
  <c r="C103" i="3" s="1"/>
  <c r="D123" i="17" l="1"/>
  <c r="D127" i="16"/>
  <c r="C139" i="16" s="1"/>
  <c r="C140" i="16" s="1"/>
  <c r="C10" i="7" s="1"/>
  <c r="F10" i="7" s="1"/>
  <c r="H10" i="7" s="1"/>
  <c r="D125" i="17"/>
  <c r="D124" i="17"/>
  <c r="D122" i="17"/>
  <c r="D122" i="13"/>
  <c r="D123" i="13"/>
  <c r="D126" i="13"/>
  <c r="D125" i="13"/>
  <c r="D124" i="13"/>
  <c r="D127" i="8"/>
  <c r="C139" i="8" s="1"/>
  <c r="C140" i="8" s="1"/>
  <c r="C6" i="7" s="1"/>
  <c r="F6" i="7" s="1"/>
  <c r="H6" i="7" s="1"/>
  <c r="D124" i="9"/>
  <c r="D123" i="9"/>
  <c r="D125" i="9"/>
  <c r="D122" i="9"/>
  <c r="D120" i="3"/>
  <c r="D125" i="3" s="1"/>
  <c r="D121" i="3"/>
  <c r="D127" i="17" l="1"/>
  <c r="C139" i="17" s="1"/>
  <c r="C140" i="17" s="1"/>
  <c r="C11" i="7" s="1"/>
  <c r="F11" i="7" s="1"/>
  <c r="H11" i="7" s="1"/>
  <c r="D127" i="13"/>
  <c r="C139" i="13" s="1"/>
  <c r="C140" i="13" s="1"/>
  <c r="C8" i="7" s="1"/>
  <c r="F8" i="7" s="1"/>
  <c r="H8" i="7" s="1"/>
  <c r="D127" i="9"/>
  <c r="C139" i="9" s="1"/>
  <c r="C140" i="9" s="1"/>
  <c r="C7" i="7" s="1"/>
  <c r="D122" i="3"/>
  <c r="D123" i="3"/>
  <c r="D126" i="3"/>
  <c r="D124" i="3"/>
  <c r="D127" i="3" l="1"/>
  <c r="C139" i="3" s="1"/>
  <c r="C140" i="3" s="1"/>
  <c r="F7" i="7" l="1"/>
  <c r="C5" i="7"/>
  <c r="F5" i="7" s="1"/>
  <c r="H7" i="7" l="1"/>
  <c r="F12" i="7"/>
  <c r="H5" i="7"/>
  <c r="E51" i="7" l="1"/>
  <c r="H12" i="7"/>
  <c r="F23" i="7" l="1"/>
  <c r="H23" i="7" l="1"/>
  <c r="F25" i="7"/>
  <c r="F45" i="7" s="1"/>
  <c r="H25" i="7" l="1"/>
  <c r="H45" i="7" s="1"/>
  <c r="I24" i="7" s="1"/>
  <c r="E52" i="7"/>
  <c r="E53" i="7" s="1"/>
  <c r="I23" i="7" l="1"/>
  <c r="I33" i="7"/>
  <c r="I32" i="7"/>
  <c r="I5" i="7"/>
  <c r="I29" i="7"/>
  <c r="I35" i="7"/>
  <c r="I10" i="7"/>
  <c r="I6" i="7"/>
  <c r="I39" i="7"/>
  <c r="I12" i="7"/>
  <c r="I11" i="7"/>
  <c r="I34" i="7"/>
  <c r="I16" i="7"/>
  <c r="I8" i="7"/>
  <c r="I7" i="7"/>
  <c r="I9" i="7"/>
  <c r="I19" i="7"/>
  <c r="I28" i="7"/>
  <c r="I25" i="7"/>
  <c r="I45" i="7"/>
  <c r="I36" i="7"/>
  <c r="I15" i="7"/>
  <c r="I17" i="7"/>
  <c r="I18" i="7"/>
  <c r="I44" i="7"/>
  <c r="I43" i="7"/>
  <c r="I40" i="7"/>
</calcChain>
</file>

<file path=xl/sharedStrings.xml><?xml version="1.0" encoding="utf-8"?>
<sst xmlns="http://schemas.openxmlformats.org/spreadsheetml/2006/main" count="1925" uniqueCount="434">
  <si>
    <t>Base de cálculo</t>
  </si>
  <si>
    <t>Percentual</t>
  </si>
  <si>
    <t>Categoria</t>
  </si>
  <si>
    <t>Valor</t>
  </si>
  <si>
    <t>Adicional Noturno</t>
  </si>
  <si>
    <t>Total</t>
  </si>
  <si>
    <t>Férias</t>
  </si>
  <si>
    <t>SEBRAE</t>
  </si>
  <si>
    <t>INCRA</t>
  </si>
  <si>
    <t>FGTS</t>
  </si>
  <si>
    <t>Vr. Unitário</t>
  </si>
  <si>
    <t xml:space="preserve">Vales por dia </t>
  </si>
  <si>
    <t>Custo total</t>
  </si>
  <si>
    <t>Dias efetivamente trabalhados</t>
  </si>
  <si>
    <t>CUSTO DA PASSAGEM</t>
  </si>
  <si>
    <t>Proporcionalidade</t>
  </si>
  <si>
    <t>Desconto</t>
  </si>
  <si>
    <t>Valor do desconto</t>
  </si>
  <si>
    <t>DESCONTO DO VALE TRANSPORTE</t>
  </si>
  <si>
    <t>Custo efetivo</t>
  </si>
  <si>
    <t>CUSTO EFETIVO DO VALE TRANSPORTE</t>
  </si>
  <si>
    <t>VALE ALIMENTAÇÃO/REFEIÇÃO</t>
  </si>
  <si>
    <t>Valor diário</t>
  </si>
  <si>
    <t>Custo anual</t>
  </si>
  <si>
    <t>Insumos Diversos</t>
  </si>
  <si>
    <t>Custos Indiretos, Tributos e Lucro</t>
  </si>
  <si>
    <t>Custos Indiretos</t>
  </si>
  <si>
    <t>Tributos</t>
  </si>
  <si>
    <t>Lucro</t>
  </si>
  <si>
    <t xml:space="preserve">UNIFORMES - COMPOSIÇÃO - VALOR ANUAL </t>
  </si>
  <si>
    <t>Item</t>
  </si>
  <si>
    <t>qte</t>
  </si>
  <si>
    <t>Vr. Unitario</t>
  </si>
  <si>
    <t>Calça</t>
  </si>
  <si>
    <t>Camisa</t>
  </si>
  <si>
    <t>Sapato</t>
  </si>
  <si>
    <t xml:space="preserve">Custo anual por Pessoa  </t>
  </si>
  <si>
    <t>UNIFORMES</t>
  </si>
  <si>
    <t xml:space="preserve">Custo mensal 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</si>
  <si>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</si>
  <si>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</si>
  <si>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</si>
  <si>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</si>
  <si>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</si>
  <si>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</si>
  <si>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</si>
  <si>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</si>
  <si>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</si>
  <si>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</si>
  <si>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</si>
  <si>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</si>
  <si>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</si>
  <si>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</si>
  <si>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</si>
  <si>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</si>
  <si>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</si>
  <si>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</si>
  <si>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</si>
  <si>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</si>
  <si>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</si>
  <si>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</si>
  <si>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</si>
  <si>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</si>
  <si>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</si>
  <si>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</si>
  <si>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</si>
  <si>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</si>
  <si>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</si>
  <si>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</si>
  <si>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H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</si>
  <si>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</si>
  <si>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</si>
  <si>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</si>
  <si>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</si>
  <si>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</si>
  <si>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</si>
  <si>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</si>
  <si>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</si>
  <si>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</si>
  <si>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</si>
  <si>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</si>
  <si>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</si>
  <si>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</si>
  <si>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</si>
  <si>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</si>
  <si>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</si>
  <si>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</si>
  <si>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</si>
  <si>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</si>
  <si>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</si>
  <si>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</si>
  <si>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</si>
  <si>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</si>
  <si>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</si>
  <si>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</si>
  <si>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</si>
  <si>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</si>
  <si>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</si>
  <si>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Uniformes</t>
  </si>
  <si>
    <t>Materiais</t>
  </si>
  <si>
    <t>Equipamentos</t>
  </si>
  <si>
    <t>Módulo 6 - Custos Indiretos, Tributos e Lucro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</si>
  <si>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</si>
  <si>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</si>
  <si>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</si>
  <si>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</si>
  <si>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</si>
  <si>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PLANILHA DE CUSTOS E FORMAÇÃO DE PREÇOS</t>
  </si>
  <si>
    <t>MODELO PARA A CONSOLIDAÇÃO E APRESENTAÇÃO DE PROPOSTAS</t>
  </si>
  <si>
    <t>Com ajustes após publicação da Lei n° 13.467, de 2017.</t>
  </si>
  <si>
    <t>Intervalo para repouso e alimentação</t>
  </si>
  <si>
    <t>Categoria/cargo</t>
  </si>
  <si>
    <t>PIS</t>
  </si>
  <si>
    <t>COFINS</t>
  </si>
  <si>
    <t>C.1. Tributos Federais</t>
  </si>
  <si>
    <t>C.2. Tributos Estaduais (ICMS)</t>
  </si>
  <si>
    <t>C.3. Tributos Municipais (ISS)</t>
  </si>
  <si>
    <t>CCT:</t>
  </si>
  <si>
    <t>Cat. Profissional:</t>
  </si>
  <si>
    <t>CBO:</t>
  </si>
  <si>
    <t>Auxílio-Refeição</t>
  </si>
  <si>
    <t>Ticket cesta / cartão alimentação magnético</t>
  </si>
  <si>
    <t>Assistência odont.</t>
  </si>
  <si>
    <t>Cinto</t>
  </si>
  <si>
    <t>Quadro Resumo Custos</t>
  </si>
  <si>
    <t>Unidade de medida</t>
  </si>
  <si>
    <t>Valor Mensal do Serviço</t>
  </si>
  <si>
    <t>Valor Total Anual do Serviço</t>
  </si>
  <si>
    <t>posto</t>
  </si>
  <si>
    <t>Valor Unitário Posto</t>
  </si>
  <si>
    <t>Quantidade Posto / Mês</t>
  </si>
  <si>
    <t>Benefício</t>
  </si>
  <si>
    <t>CESTA BÁSICA</t>
  </si>
  <si>
    <t>Valor mensal</t>
  </si>
  <si>
    <t>Téc. De Manutenção de Campo</t>
  </si>
  <si>
    <t>DIÁRIAS</t>
  </si>
  <si>
    <t xml:space="preserve">por dia </t>
  </si>
  <si>
    <t>Dias estimados</t>
  </si>
  <si>
    <t>Diárias (estimativa de 30 dias em campo, a ser descontado qdo. Não efetivado)</t>
  </si>
  <si>
    <t>Motorista</t>
  </si>
  <si>
    <t>Técnico de Campo</t>
  </si>
  <si>
    <t>Operador de Logística</t>
  </si>
  <si>
    <t>Operador de Rastreamento</t>
  </si>
  <si>
    <t>Técnico de Interno</t>
  </si>
  <si>
    <t>Ticket cesta</t>
  </si>
  <si>
    <t>Obs: No contrato de trabalho deve constar expressamente que o motorista acumulará a função de auxiliar de serviços gerais na manutenção de campo e receberá uma gratificação de 15% para isto.</t>
  </si>
  <si>
    <t>Supervisor de Operações</t>
  </si>
  <si>
    <t>Subtotal</t>
  </si>
  <si>
    <t>Técnico</t>
  </si>
  <si>
    <t>Op. Log.</t>
  </si>
  <si>
    <t>FORMAÇÃO DE PREÇOS – TIPO 1</t>
  </si>
  <si>
    <t>Custos</t>
  </si>
  <si>
    <t xml:space="preserve">Percentuais e Valores </t>
  </si>
  <si>
    <t xml:space="preserve">Valor (R$) </t>
  </si>
  <si>
    <t>1. PREÇO MENSAL FIXO PARA VEÍCULO TIPO 1</t>
  </si>
  <si>
    <t>1.1. CUSTOS FIXOS – CF</t>
  </si>
  <si>
    <t>1.1.3. Licenciamento (emplacamento, IPVA, seguro obrigatório, etc.)</t>
  </si>
  <si>
    <t>1.1.4. Seguros (especificar)</t>
  </si>
  <si>
    <t>Subtotal (1.1)</t>
  </si>
  <si>
    <t>1.2 - Despesas Administrativas/Operacionais</t>
  </si>
  <si>
    <t>1.3. Lucro sobre o Custo Fixo</t>
  </si>
  <si>
    <t>1.4. Tributos:</t>
  </si>
  <si>
    <t xml:space="preserve">       1.4.1 - Tributos Federais (PIS e COFINS)</t>
  </si>
  <si>
    <t xml:space="preserve">        1.4.2 - Tributos Estaduais (especificar)</t>
  </si>
  <si>
    <t xml:space="preserve">        1.4.3 - Tributos Municipais (ISS)</t>
  </si>
  <si>
    <t xml:space="preserve">        1.4.4 - Outros Tributos (especificar)</t>
  </si>
  <si>
    <t xml:space="preserve">TOTAL DO PREÇO FIXO – PF  </t>
  </si>
  <si>
    <t>2.  PREÇO MENSAL VARIÁVEL ESTIMADO DO SERVIÇO DE TRANSPORTE PARA 01 (UM) VEÍCULO</t>
  </si>
  <si>
    <t>2.1. CUSTOS VARIÁVEIS – CV</t>
  </si>
  <si>
    <t>2.1.1. Manutenção (peças, acessórios, mão de obra)</t>
  </si>
  <si>
    <t>2.1.2. Combustível</t>
  </si>
  <si>
    <t>2.1.3. Óleo carter</t>
  </si>
  <si>
    <t>2.1.4. Lavagens e graxas</t>
  </si>
  <si>
    <t>2.1.5. Pneus e Câmaras</t>
  </si>
  <si>
    <t>2.1.6. Outros (especificar) Pedágios - Média Brasil</t>
  </si>
  <si>
    <t>Subtotal (2.1)</t>
  </si>
  <si>
    <t>2.2 - Despesas Administrativas/Operacionais</t>
  </si>
  <si>
    <t>2.3. Lucro sobre o Custo Variável</t>
  </si>
  <si>
    <t>2.4. Tributos:</t>
  </si>
  <si>
    <t xml:space="preserve">       2.4.1 - Tributos Federais (PIS e COFINS)</t>
  </si>
  <si>
    <t xml:space="preserve">        2.4.2 - Tributos Estaduais (especificar)</t>
  </si>
  <si>
    <t xml:space="preserve">        2.4.3 - Tributos Municipais (ISS)</t>
  </si>
  <si>
    <t xml:space="preserve">        2.4.4 - Outros Tributos (especificar)</t>
  </si>
  <si>
    <r>
      <t xml:space="preserve">PREÇO UNITÁRIO POR Km RODADO – PK
</t>
    </r>
    <r>
      <rPr>
        <b/>
        <sz val="11"/>
        <rFont val="Times New Roman"/>
        <family val="1"/>
      </rPr>
      <t xml:space="preserve">PK = (PV /3.000)
</t>
    </r>
    <r>
      <rPr>
        <b/>
        <sz val="9"/>
        <rFont val="Times New Roman"/>
        <family val="1"/>
      </rPr>
      <t>OBS: Para fins de cálculo da composição do preço, foi fixada a quantidade mensal estimada de 3.000 (quatro mil) Km/mês para o parâmetro “A”.</t>
    </r>
  </si>
  <si>
    <t>3. VALOR MENSAL ESTIMADO POR VEÍCULO – VMV</t>
  </si>
  <si>
    <r>
      <t xml:space="preserve">   a)   To =   </t>
    </r>
    <r>
      <rPr>
        <b/>
        <i/>
        <u/>
        <sz val="12"/>
        <rFont val="Times New Roman"/>
        <family val="1"/>
      </rPr>
      <t>TRIBUTOS (%)</t>
    </r>
    <r>
      <rPr>
        <b/>
        <i/>
        <sz val="12"/>
        <rFont val="Times New Roman"/>
        <family val="1"/>
      </rPr>
      <t xml:space="preserve"> (somatória dos tributos)
100
b) Po = (Custos Fixos + Despesas Administrativas/Operacionais + Lucro) 
c) P1 = Po / (1-To) d) VALOR DOS TRIBUTOS (P1 – Po) </t>
    </r>
  </si>
  <si>
    <t>OBS: Não poderão ser incluídos como custos neste item, os tributos relativos ao IRPJ e a CSLL, conforme determinação do TCU –Acórdão nº 950/2007 – Plenário.</t>
  </si>
  <si>
    <t>FORMAÇÃO DE PREÇOS – TIPO 2</t>
  </si>
  <si>
    <t>1. PREÇO MENSAL FIXO PARA VEÍCULO TIPO 2</t>
  </si>
  <si>
    <t>TIPO</t>
  </si>
  <si>
    <t>Qtde.</t>
  </si>
  <si>
    <t>Valor mensal Fixo Estimado Unitário</t>
  </si>
  <si>
    <t>Valor mensal Fixo Estimado Total</t>
  </si>
  <si>
    <t>Valor mensal variável estimado unitário</t>
  </si>
  <si>
    <t>Valor mensal variável estimado Total</t>
  </si>
  <si>
    <t>Valor mensal  estimado Total</t>
  </si>
  <si>
    <t>Valor Anual  estimado Total</t>
  </si>
  <si>
    <t>TOTAL</t>
  </si>
  <si>
    <t>POSTOS DE TRABALHO</t>
  </si>
  <si>
    <t>TRANSPORTE</t>
  </si>
  <si>
    <t>Valor Unitário</t>
  </si>
  <si>
    <t>Veículo Tipo 1 - Fixo</t>
  </si>
  <si>
    <t>Veículo Tipo 1 - Variável</t>
  </si>
  <si>
    <t>Veículo</t>
  </si>
  <si>
    <t>Km</t>
  </si>
  <si>
    <t>Quantidade total / Mês</t>
  </si>
  <si>
    <t>Veículo Tipo 2 - Fixo</t>
  </si>
  <si>
    <t>Veículo Tipo 2 - Variável</t>
  </si>
  <si>
    <t>#</t>
  </si>
  <si>
    <t>12 veíc.</t>
  </si>
  <si>
    <t>2.1.2. Combustível/bateria</t>
  </si>
  <si>
    <t>2.1.5. Pneus/rodas</t>
  </si>
  <si>
    <t xml:space="preserve">2.1.6. Outros (especificar) </t>
  </si>
  <si>
    <t>Demanda Mensal estimada (KM/v; horas/Eq)</t>
  </si>
  <si>
    <t>Preço Médio Unitário (KM rodado; hora utilizada)</t>
  </si>
  <si>
    <t>EQUIPAMENTOS DE MOVIMENTAÇÃO</t>
  </si>
  <si>
    <t>Diária</t>
  </si>
  <si>
    <t>Tarifa Média 50 Kg (R$)</t>
  </si>
  <si>
    <t>Coleta</t>
  </si>
  <si>
    <t>Entrega</t>
  </si>
  <si>
    <t>Ad Valorem</t>
  </si>
  <si>
    <t xml:space="preserve">Subtotal </t>
  </si>
  <si>
    <t>Encomenda Expressa - Norte/Nordeste</t>
  </si>
  <si>
    <t xml:space="preserve">Tarifa Média </t>
  </si>
  <si>
    <t>Perfil</t>
  </si>
  <si>
    <t>Volume Padrão 1 (50 Kg)</t>
  </si>
  <si>
    <t>TOTAL POR DESPACHO</t>
  </si>
  <si>
    <t>Volume Padrão 2 (25 Kg)</t>
  </si>
  <si>
    <t>Qtde. Mensal estimada</t>
  </si>
  <si>
    <t>Valor mensal estimado</t>
  </si>
  <si>
    <t>Qtde. Anual estimada</t>
  </si>
  <si>
    <t>Valor Anual estimado</t>
  </si>
  <si>
    <t>Encomenda Expressa - Região 1 (Sudeste/Sul/Centro-oeste)</t>
  </si>
  <si>
    <t>Região 1 - Padrão 1</t>
  </si>
  <si>
    <t>Região 1 - Padrão 2</t>
  </si>
  <si>
    <t>Região 2 - Padrão 1</t>
  </si>
  <si>
    <t>Região 2 - Padrão 2</t>
  </si>
  <si>
    <t>Encomenda Expressa</t>
  </si>
  <si>
    <t>DEMANDA ESTIMADA</t>
  </si>
  <si>
    <t>FORMAÇÃO DE PREÇOS – Empilhadeira de Armazém (Não Dedicada)</t>
  </si>
  <si>
    <t>2.  PREÇO MENSAL VARIÁVEL ESTIMADO</t>
  </si>
  <si>
    <t>VEÍCULOS</t>
  </si>
  <si>
    <t>Empilhadeira não dedicada - Variável (estimado)</t>
  </si>
  <si>
    <t>Disponibilização, customização e operação de Sistemas Logísticos Integrados para possibilitar a operação.</t>
  </si>
  <si>
    <t>Valor Mensal R$)</t>
  </si>
  <si>
    <t>SOLUÇÃO DE SISTEMAS LOGÍSTICOS INTEGRADOS</t>
  </si>
  <si>
    <t>TOTAL POR MÊS</t>
  </si>
  <si>
    <t>TOTAL POR ANO</t>
  </si>
  <si>
    <t>Descrição</t>
  </si>
  <si>
    <t>Mensalidade</t>
  </si>
  <si>
    <t>TOTAL GERAL</t>
  </si>
  <si>
    <t>ENCOMENDA/ENTREGA EXPRESSA</t>
  </si>
  <si>
    <t>Despacho</t>
  </si>
  <si>
    <t>Sub-Item</t>
  </si>
  <si>
    <t>Unidade</t>
  </si>
  <si>
    <t>Cotação A</t>
  </si>
  <si>
    <t>Cotação B</t>
  </si>
  <si>
    <t>Cotação C</t>
  </si>
  <si>
    <t>Val. Unitário Médio</t>
  </si>
  <si>
    <t>Quantidade</t>
  </si>
  <si>
    <t>Val. Total</t>
  </si>
  <si>
    <t>1 - Materiais de consumo e equipamentos</t>
  </si>
  <si>
    <t>1.1 - Equipamentos para Manutenção das Estações (Depreciação e Manutenção)</t>
  </si>
  <si>
    <t>Alavanca de Aço</t>
  </si>
  <si>
    <t>Alicate de Pressão</t>
  </si>
  <si>
    <t>Arco de Serra</t>
  </si>
  <si>
    <t>Caixa Organizadora de Ferramentas</t>
  </si>
  <si>
    <t>Caixa Organizadora de Materiais</t>
  </si>
  <si>
    <t>Câmera Fotográfica Digital com GPS</t>
  </si>
  <si>
    <t>Cavadeira Articulada</t>
  </si>
  <si>
    <t>Cavadeira Reta</t>
  </si>
  <si>
    <t>Cinturão de Segurança</t>
  </si>
  <si>
    <t>Enxada</t>
  </si>
  <si>
    <t>Extensão de energia 30m</t>
  </si>
  <si>
    <t>Facão</t>
  </si>
  <si>
    <t>Ferro de Solda 300W</t>
  </si>
  <si>
    <t>Furadeira de Impacto Profissional</t>
  </si>
  <si>
    <t>Gerador de Energia</t>
  </si>
  <si>
    <t>GPS Portátil</t>
  </si>
  <si>
    <t>Inversor de energia</t>
  </si>
  <si>
    <t>Jogo de alicates</t>
  </si>
  <si>
    <t>Jogo de chaves de boca</t>
  </si>
  <si>
    <t>Jogo de chaves de Fenda / Philips</t>
  </si>
  <si>
    <t>Lanterna</t>
  </si>
  <si>
    <t>Marreta</t>
  </si>
  <si>
    <t>Martelo</t>
  </si>
  <si>
    <t>Multímetro</t>
  </si>
  <si>
    <t>Nível de cantoneira</t>
  </si>
  <si>
    <t>Pá</t>
  </si>
  <si>
    <t>Parafusadeira Profissional</t>
  </si>
  <si>
    <t>Roçadeira Multi Uso</t>
  </si>
  <si>
    <t>Rádio Walk Talk</t>
  </si>
  <si>
    <t>Par</t>
  </si>
  <si>
    <t>Talha Manual de Alavanca</t>
  </si>
  <si>
    <t>Depreciação anual calculada por equipe de campo</t>
  </si>
  <si>
    <t>Depreciação mensal calculada por equipe de campo</t>
  </si>
  <si>
    <t>Equipamentos - Conjunto de Ferramentas de Manutenção</t>
  </si>
  <si>
    <t>Material de Consumo</t>
  </si>
  <si>
    <t xml:space="preserve">1.2 - Material de Consumo (Inspeção e Manutenção das Estações) - Geral
</t>
  </si>
  <si>
    <t>Capa de chuva</t>
  </si>
  <si>
    <t>Capacete de Proteção</t>
  </si>
  <si>
    <t>Garrafão Térmico 20L</t>
  </si>
  <si>
    <t>Luva de couro</t>
  </si>
  <si>
    <t>Óculos de segurança</t>
  </si>
  <si>
    <t>Par de Botas Plásticas de Chuva</t>
  </si>
  <si>
    <t>Prancheta</t>
  </si>
  <si>
    <t>Protetor Solar FPS 60</t>
  </si>
  <si>
    <t>Repelente</t>
  </si>
  <si>
    <t>EPIs funcionários de campo</t>
  </si>
  <si>
    <t xml:space="preserve">Gasto mensal calculada por funcionário de campo </t>
  </si>
  <si>
    <t>Materiais - EPIs</t>
  </si>
  <si>
    <t>Meia</t>
  </si>
  <si>
    <t>Blazer/casaco</t>
  </si>
  <si>
    <t>Colete socorrista</t>
  </si>
  <si>
    <t>Guarda Sol/chuva</t>
  </si>
  <si>
    <t>Outros equipes de campo</t>
  </si>
  <si>
    <t>Outros (especificar) - outros materiais</t>
  </si>
  <si>
    <t>Outros (especificar) - EPIs</t>
  </si>
  <si>
    <t>FERRAMENTAS PARA OS TÉCNICOS DE CAMPO</t>
  </si>
  <si>
    <t>FERRAMENTAS PARA OS TÉCNICOS INTERNOS</t>
  </si>
  <si>
    <t>Equipamentos - Ferramentas</t>
  </si>
  <si>
    <t>1. PREÇO MENSAL FIXO</t>
  </si>
  <si>
    <t>1.1.1. Locação (ou Disponibilização de propriedade + Custo de Capital + Seguro)</t>
  </si>
  <si>
    <t>1.1.2. Outros (especificar) Operador Salário e Encargos Sociais</t>
  </si>
  <si>
    <t>Estimativa de diárias sequênciais por mês</t>
  </si>
  <si>
    <t>Frete médio (levar e buscar uma vez por mês)</t>
  </si>
  <si>
    <t>Estimativa mensal</t>
  </si>
  <si>
    <t>Custo Total Mensal</t>
  </si>
  <si>
    <t>Custo da diária c/ Operador</t>
  </si>
  <si>
    <t>PREÇO DA DIÁRIA FINAL</t>
  </si>
  <si>
    <t>3.  FRETE MÉDIO</t>
  </si>
  <si>
    <t>3.1. CUSTO</t>
  </si>
  <si>
    <t>2.1.1. Frete médio para o depósito em SJC</t>
  </si>
  <si>
    <t>Total frete</t>
  </si>
  <si>
    <t>ESTIMATIVA DE DEMANDA MENSAL</t>
  </si>
  <si>
    <t>Quantidade estimada / Mês</t>
  </si>
  <si>
    <t>Valor Anual do Serviço</t>
  </si>
  <si>
    <t>Frete do equipamento - Variável (estimado)</t>
  </si>
  <si>
    <t>Viagem</t>
  </si>
  <si>
    <t>1. CUSTO DIÁRIA</t>
  </si>
  <si>
    <t>1.1.1. Locação com condutor habilitado e manutenção</t>
  </si>
  <si>
    <t>1.1. CUSTOS</t>
  </si>
  <si>
    <t>Estimativa de diárias por ano</t>
  </si>
  <si>
    <t>Qtd.</t>
  </si>
  <si>
    <t>Valor total</t>
  </si>
  <si>
    <t>ESTIMATIVA DE DEMANDA ANUAL</t>
  </si>
  <si>
    <t>Quantidade total / Ano</t>
  </si>
  <si>
    <t>TOTAL DO PREÇO VARIÁVEL MENSAL PARA 2.023,20 KM – PV</t>
  </si>
  <si>
    <t>24.278,4 Km</t>
  </si>
  <si>
    <t xml:space="preserve">Diária </t>
  </si>
  <si>
    <t>Notebook/Tablet (Telemetria) c/ internet</t>
  </si>
  <si>
    <t>3132 :: Técnicos em eletrônica</t>
  </si>
  <si>
    <t>7823-10 - Motorista de furgão ou veículo similar (acumula função de Ajudante Geral - CBO 7170)</t>
  </si>
  <si>
    <t>Outros (especificar) Gratificação por acumulo de função de "Ajudante Geral" na manutenção de campo - 15%</t>
  </si>
  <si>
    <t>Gerente de Operações</t>
  </si>
  <si>
    <t>Famílias 1414 e 1416</t>
  </si>
  <si>
    <t>4102-40</t>
  </si>
  <si>
    <t>291.340,8 Km</t>
  </si>
  <si>
    <t>FORMAÇÃO DE PREÇOS – Barco/lancha (Não Dedicada)</t>
  </si>
  <si>
    <t>1.1.2. Combustível/dia (Cons. Méd. 23 LPH e máx. 6h/dia)</t>
  </si>
  <si>
    <t>Transporte Fluvial</t>
  </si>
  <si>
    <t>Transporte Fluvial - Barco/lancha</t>
  </si>
  <si>
    <t>EPIs funcionários do armazém e técnicos internos / Materiais de embalagem e acondicionamento</t>
  </si>
  <si>
    <t>Embalagem</t>
  </si>
  <si>
    <t>Acondicionamento</t>
  </si>
  <si>
    <t>caixas de papelão, lacres numerados, fitas, etiquetas, bolsas de ar, plástico bolhas, entre outros (anual)</t>
  </si>
  <si>
    <t>1.1 - Solução Armazenagem/estocagem (WMS ou similar)</t>
  </si>
  <si>
    <t>1.3 - Solução Apontamento de Campo (App FieldControl ou similar)</t>
  </si>
  <si>
    <r>
      <rPr>
        <b/>
        <sz val="11"/>
        <color theme="1"/>
        <rFont val="Calibri"/>
        <family val="2"/>
        <scheme val="minor"/>
      </rPr>
      <t>TOTAL:</t>
    </r>
    <r>
      <rPr>
        <sz val="11"/>
        <color theme="1"/>
        <rFont val="Calibri"/>
        <family val="2"/>
        <scheme val="minor"/>
      </rPr>
      <t xml:space="preserve"> Disponibilização, customização e operação de Sistemas Logísticos Integrados para possibilitar a operação.</t>
    </r>
  </si>
  <si>
    <t>1.2 - Solução Gestão Frota/distribuição (TMS ou similar, roteirização e rastreamento, incluindo acessórios)</t>
  </si>
  <si>
    <t>SINTEC-SP E FECOMERCIO-SP 2019/2020</t>
  </si>
  <si>
    <t>Vr. Unitário adotado</t>
  </si>
  <si>
    <t>Logística</t>
  </si>
  <si>
    <t>SINDLOC-SP E SINDELOCADESP 2019/2020</t>
  </si>
  <si>
    <t>SINDEEPRES E SINDEPRESTEM -LOGÍSTICA 2020</t>
  </si>
  <si>
    <t>4141:: Almoxarifes e armazenistas; e, 3421-25 - Assistente de logística de transporte</t>
  </si>
  <si>
    <t>Salário-Base - Conferente</t>
  </si>
  <si>
    <t>SINTRASESP e SIESE-SP 2020/2021</t>
  </si>
  <si>
    <t>9513-15 - Monitor de sistemas eletrônicos de segurança interno</t>
  </si>
  <si>
    <t>Salário-Base - III – Automação Predial e Rastreamento de Veículos e Pessoas.</t>
  </si>
  <si>
    <t>motorista/ monitor</t>
  </si>
  <si>
    <t>Sup.</t>
  </si>
  <si>
    <t>VMV = {PF + (2023.20 x PK)}</t>
  </si>
  <si>
    <t>TOTAL DO PREÇO VARIÁVEL MENSAL PARA 2023.20 KM – PV</t>
  </si>
  <si>
    <t>Quantidade Posto / Ano</t>
  </si>
  <si>
    <t>Quantidade estimada / Ano</t>
  </si>
  <si>
    <t>Escada Extensível</t>
  </si>
  <si>
    <t>Despesas Extraordinárias</t>
  </si>
  <si>
    <t>Despesa Extraordinárias (passagens aéreas/rodoviárias para atender a operação)</t>
  </si>
  <si>
    <t>Valor médio por mês</t>
  </si>
  <si>
    <t>Itens de custo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</si>
  <si>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</si>
  <si>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</si>
  <si>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</si>
  <si>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</si>
  <si>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</si>
  <si>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</si>
  <si>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</si>
  <si>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</si>
  <si>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</si>
  <si>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</si>
  <si>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</si>
  <si>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</si>
  <si>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</si>
  <si>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</si>
  <si>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</si>
  <si>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</si>
  <si>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</si>
  <si>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</si>
  <si>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</si>
  <si>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</si>
  <si>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ITEM</t>
  </si>
  <si>
    <t>UNIDADE DE MEDIDA</t>
  </si>
  <si>
    <t>VALOR TOTAL ANUAL DO SERVIÇO (R$)</t>
  </si>
  <si>
    <t>serviço</t>
  </si>
  <si>
    <t>DESCRIÇÃO/ ESPECIFICAÇÃO</t>
  </si>
  <si>
    <t>ITENS DE CUSTO</t>
  </si>
  <si>
    <t>QUADRO RESUMO DOS ITENS DA LICITAÇÃO</t>
  </si>
  <si>
    <r>
      <t xml:space="preserve">Prestação de Serviço Logístico integrado (Operador Logístico) para a operação da rede observacional nacional do Cemaden </t>
    </r>
    <r>
      <rPr>
        <b/>
        <sz val="10"/>
        <color rgb="FF000000"/>
        <rFont val="Arial"/>
        <family val="2"/>
      </rPr>
      <t>(parcela fixa).</t>
    </r>
  </si>
  <si>
    <r>
      <t xml:space="preserve">Prestação de Serviço Logístico integrado (Operador Logístico) para a operação da rede observacional nacional do Cemaden </t>
    </r>
    <r>
      <rPr>
        <b/>
        <sz val="10"/>
        <color rgb="FF000000"/>
        <rFont val="Arial"/>
        <family val="2"/>
      </rPr>
      <t>(parcela variável estimada).</t>
    </r>
  </si>
  <si>
    <t>a, b, c, d, e, f, g, h, j, n</t>
  </si>
  <si>
    <t>i, k, l, m, o, p, q, r, s, t</t>
  </si>
  <si>
    <t>Gratificação de Função</t>
  </si>
  <si>
    <t xml:space="preserve">Salário-Base </t>
  </si>
  <si>
    <t>SINDICATO DOS CONDOMINIOS DE PR. E EDIF. COM. IND. RES. E MISTOS INTERM.DO EST.DE SAO PAULO (CNPJ n. 03.547.186/0001-91) e SINDICATO DOS ADMINISTRADORES NO ESTADO DE SAO PAULO (CNPJ n. 54.751.375/0001-12) - 2019/2020</t>
  </si>
  <si>
    <t>Supervisor/gerente</t>
  </si>
  <si>
    <t>Gratificação de Função de Gerente p/ atingir salário médio - 67%</t>
  </si>
  <si>
    <t>%CC</t>
  </si>
  <si>
    <t>2.1.6. Outros (especificar) Pedágios - Média Estados Brasil</t>
  </si>
  <si>
    <t>1.1.5. Outros (especificar) Estacionamento noturno + GPS</t>
  </si>
  <si>
    <t>2.1.7. Seguro Obrigatório Transporte</t>
  </si>
  <si>
    <t>1.1.3. Licenciamento (emplacamento, IPVA, seguro obrigatório veíc., etc.)</t>
  </si>
  <si>
    <t>1.1.1. Disponibilização do veículo (incluído custo de capital)</t>
  </si>
  <si>
    <t>ANP_Br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</si>
</sst>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_(* #,##0.00_);_(* \(#,##0.00\);_(* \-??_);_(@_)"/>
    <numFmt numFmtId="167" formatCode="0.000%"/>
    <numFmt numFmtId="168" formatCode="[$R$-416]\ #,##0.00;[Red]\-[$R$-416]\ #,##0.00"/>
    <numFmt numFmtId="169" formatCode="[$R$-416]\ #,##0.00;[Red][$R$-416]\ #,##0.00"/>
    <numFmt numFmtId="170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8"/>
      <color theme="0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23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color indexed="9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54">
    <xf numFmtId="0" fontId="0" fillId="0" borderId="0"/>
    <xf numFmtId="9" fontId="1" fillId="0" borderId="0" applyFont="0" applyFill="0" applyBorder="0" applyAlignment="0" applyProtection="0"/>
    <xf numFmtId="166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9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26" applyNumberFormat="0" applyAlignment="0" applyProtection="0"/>
    <xf numFmtId="0" fontId="14" fillId="8" borderId="27" applyNumberFormat="0" applyAlignment="0" applyProtection="0"/>
    <xf numFmtId="0" fontId="15" fillId="8" borderId="26" applyNumberFormat="0" applyAlignment="0" applyProtection="0"/>
    <xf numFmtId="0" fontId="16" fillId="0" borderId="28" applyNumberFormat="0" applyFill="0" applyAlignment="0" applyProtection="0"/>
    <xf numFmtId="0" fontId="17" fillId="9" borderId="29" applyNumberFormat="0" applyAlignment="0" applyProtection="0"/>
    <xf numFmtId="0" fontId="18" fillId="0" borderId="0" applyNumberFormat="0" applyFill="0" applyBorder="0" applyAlignment="0" applyProtection="0"/>
    <xf numFmtId="0" fontId="1" fillId="10" borderId="3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166" fontId="4" fillId="3" borderId="20" xfId="2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 applyProtection="1">
      <alignment horizontal="center" vertical="center"/>
    </xf>
    <xf numFmtId="166" fontId="3" fillId="0" borderId="9" xfId="2" applyFont="1" applyFill="1" applyBorder="1" applyAlignment="1" applyProtection="1">
      <alignment horizontal="center" vertical="center"/>
    </xf>
    <xf numFmtId="4" fontId="24" fillId="0" borderId="3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/>
    </xf>
    <xf numFmtId="4" fontId="4" fillId="3" borderId="21" xfId="0" applyNumberFormat="1" applyFont="1" applyFill="1" applyBorder="1" applyAlignment="1">
      <alignment horizontal="center" vertical="center"/>
    </xf>
    <xf numFmtId="166" fontId="3" fillId="0" borderId="0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" fontId="3" fillId="0" borderId="8" xfId="2" applyNumberFormat="1" applyFont="1" applyFill="1" applyBorder="1" applyAlignment="1" applyProtection="1">
      <alignment horizontal="center" vertical="center"/>
    </xf>
    <xf numFmtId="4" fontId="4" fillId="0" borderId="3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10" fontId="3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justify" vertical="center" wrapText="1"/>
    </xf>
    <xf numFmtId="0" fontId="2" fillId="0" borderId="19" xfId="0" applyFont="1" applyBorder="1" applyAlignment="1">
      <alignment vertical="center" wrapText="1"/>
    </xf>
    <xf numFmtId="0" fontId="3" fillId="0" borderId="0" xfId="0" applyFont="1"/>
    <xf numFmtId="0" fontId="2" fillId="0" borderId="21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10" fontId="3" fillId="35" borderId="34" xfId="0" applyNumberFormat="1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0" xfId="0" applyBorder="1"/>
    <xf numFmtId="0" fontId="0" fillId="0" borderId="36" xfId="0" applyBorder="1"/>
    <xf numFmtId="0" fontId="0" fillId="0" borderId="34" xfId="0" applyBorder="1"/>
    <xf numFmtId="4" fontId="3" fillId="0" borderId="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justify" vertical="center" wrapText="1"/>
    </xf>
    <xf numFmtId="167" fontId="3" fillId="0" borderId="34" xfId="0" applyNumberFormat="1" applyFont="1" applyBorder="1" applyAlignment="1">
      <alignment horizontal="center" vertical="center" wrapText="1"/>
    </xf>
    <xf numFmtId="167" fontId="3" fillId="0" borderId="36" xfId="0" applyNumberFormat="1" applyFont="1" applyBorder="1" applyAlignment="1">
      <alignment horizontal="center" vertical="center" wrapText="1"/>
    </xf>
    <xf numFmtId="167" fontId="2" fillId="0" borderId="20" xfId="0" applyNumberFormat="1" applyFont="1" applyBorder="1" applyAlignment="1">
      <alignment horizontal="center"/>
    </xf>
    <xf numFmtId="167" fontId="2" fillId="0" borderId="34" xfId="0" applyNumberFormat="1" applyFont="1" applyBorder="1" applyAlignment="1">
      <alignment horizontal="center" vertical="center" wrapText="1"/>
    </xf>
    <xf numFmtId="10" fontId="3" fillId="0" borderId="2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10" fontId="2" fillId="0" borderId="34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vertical="center" wrapText="1"/>
    </xf>
    <xf numFmtId="0" fontId="3" fillId="38" borderId="34" xfId="0" applyFont="1" applyFill="1" applyBorder="1" applyAlignment="1">
      <alignment vertical="center" wrapText="1"/>
    </xf>
    <xf numFmtId="10" fontId="3" fillId="38" borderId="34" xfId="0" applyNumberFormat="1" applyFont="1" applyFill="1" applyBorder="1" applyAlignment="1">
      <alignment horizontal="center" vertical="center" wrapText="1"/>
    </xf>
    <xf numFmtId="4" fontId="3" fillId="38" borderId="34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7" fillId="0" borderId="1" xfId="4" applyFont="1" applyBorder="1" applyAlignment="1">
      <alignment horizontal="right" vertical="center" wrapText="1"/>
    </xf>
    <xf numFmtId="3" fontId="27" fillId="0" borderId="1" xfId="52" applyNumberFormat="1" applyFont="1" applyBorder="1" applyAlignment="1">
      <alignment horizontal="center" vertical="center" wrapText="1"/>
    </xf>
    <xf numFmtId="4" fontId="27" fillId="0" borderId="1" xfId="52" applyNumberFormat="1" applyFont="1" applyBorder="1" applyAlignment="1">
      <alignment horizontal="right" vertical="center" wrapText="1"/>
    </xf>
    <xf numFmtId="0" fontId="27" fillId="0" borderId="1" xfId="52" applyFont="1" applyBorder="1" applyAlignment="1">
      <alignment horizontal="center" vertical="center" wrapText="1"/>
    </xf>
    <xf numFmtId="0" fontId="26" fillId="39" borderId="1" xfId="52" applyFont="1" applyFill="1" applyBorder="1" applyAlignment="1">
      <alignment horizontal="center" vertical="center" wrapText="1"/>
    </xf>
    <xf numFmtId="4" fontId="27" fillId="0" borderId="1" xfId="52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30" fillId="40" borderId="43" xfId="0" applyFont="1" applyFill="1" applyBorder="1" applyAlignment="1">
      <alignment horizontal="center" vertical="center"/>
    </xf>
    <xf numFmtId="9" fontId="30" fillId="40" borderId="43" xfId="1" applyFont="1" applyFill="1" applyBorder="1" applyAlignment="1" applyProtection="1">
      <alignment horizontal="center" vertical="center" wrapText="1"/>
    </xf>
    <xf numFmtId="168" fontId="30" fillId="40" borderId="43" xfId="0" applyNumberFormat="1" applyFont="1" applyFill="1" applyBorder="1" applyAlignment="1">
      <alignment horizontal="right" vertical="center" wrapText="1"/>
    </xf>
    <xf numFmtId="168" fontId="4" fillId="0" borderId="43" xfId="53" applyNumberFormat="1" applyFont="1" applyFill="1" applyBorder="1" applyAlignment="1" applyProtection="1">
      <alignment horizontal="right" vertical="center"/>
    </xf>
    <xf numFmtId="168" fontId="24" fillId="0" borderId="43" xfId="53" applyNumberFormat="1" applyFont="1" applyFill="1" applyBorder="1" applyAlignment="1" applyProtection="1">
      <alignment horizontal="right" vertical="center"/>
    </xf>
    <xf numFmtId="168" fontId="24" fillId="0" borderId="43" xfId="0" applyNumberFormat="1" applyFont="1" applyBorder="1" applyAlignment="1">
      <alignment horizontal="right" vertical="center"/>
    </xf>
    <xf numFmtId="168" fontId="4" fillId="42" borderId="43" xfId="0" applyNumberFormat="1" applyFont="1" applyFill="1" applyBorder="1" applyAlignment="1">
      <alignment horizontal="right" vertical="center"/>
    </xf>
    <xf numFmtId="0" fontId="4" fillId="42" borderId="43" xfId="0" applyFont="1" applyFill="1" applyBorder="1" applyAlignment="1">
      <alignment vertical="center" wrapText="1"/>
    </xf>
    <xf numFmtId="168" fontId="4" fillId="42" borderId="43" xfId="53" applyNumberFormat="1" applyFont="1" applyFill="1" applyBorder="1" applyAlignment="1" applyProtection="1">
      <alignment horizontal="right" vertical="center"/>
    </xf>
    <xf numFmtId="0" fontId="4" fillId="41" borderId="43" xfId="0" applyFont="1" applyFill="1" applyBorder="1" applyAlignment="1">
      <alignment vertical="center" wrapText="1"/>
    </xf>
    <xf numFmtId="10" fontId="32" fillId="0" borderId="43" xfId="1" applyNumberFormat="1" applyFont="1" applyFill="1" applyBorder="1" applyAlignment="1" applyProtection="1">
      <alignment horizontal="center" vertical="center"/>
    </xf>
    <xf numFmtId="43" fontId="24" fillId="41" borderId="43" xfId="53" applyFont="1" applyFill="1" applyBorder="1" applyAlignment="1" applyProtection="1"/>
    <xf numFmtId="0" fontId="24" fillId="41" borderId="43" xfId="0" applyFont="1" applyFill="1" applyBorder="1" applyAlignment="1">
      <alignment wrapText="1"/>
    </xf>
    <xf numFmtId="43" fontId="33" fillId="41" borderId="43" xfId="53" applyFont="1" applyFill="1" applyBorder="1" applyAlignment="1" applyProtection="1"/>
    <xf numFmtId="168" fontId="4" fillId="43" borderId="43" xfId="0" applyNumberFormat="1" applyFont="1" applyFill="1" applyBorder="1" applyAlignment="1">
      <alignment horizontal="right" vertical="center"/>
    </xf>
    <xf numFmtId="168" fontId="4" fillId="40" borderId="43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39" borderId="1" xfId="0" applyFont="1" applyFill="1" applyBorder="1" applyAlignment="1">
      <alignment horizontal="center" vertical="center" wrapText="1"/>
    </xf>
    <xf numFmtId="0" fontId="20" fillId="38" borderId="1" xfId="0" applyFont="1" applyFill="1" applyBorder="1" applyAlignment="1">
      <alignment horizontal="center" vertical="center" wrapText="1"/>
    </xf>
    <xf numFmtId="0" fontId="20" fillId="4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39" borderId="1" xfId="0" applyNumberFormat="1" applyFill="1" applyBorder="1" applyAlignment="1">
      <alignment horizontal="center" vertical="center"/>
    </xf>
    <xf numFmtId="2" fontId="0" fillId="38" borderId="1" xfId="0" applyNumberFormat="1" applyFill="1" applyBorder="1" applyAlignment="1">
      <alignment horizontal="center" vertical="center"/>
    </xf>
    <xf numFmtId="2" fontId="0" fillId="38" borderId="1" xfId="0" applyNumberFormat="1" applyFill="1" applyBorder="1" applyAlignment="1">
      <alignment horizontal="center" vertical="center" wrapText="1"/>
    </xf>
    <xf numFmtId="2" fontId="0" fillId="39" borderId="1" xfId="0" applyNumberFormat="1" applyFill="1" applyBorder="1" applyAlignment="1">
      <alignment horizontal="center" vertical="center" wrapText="1"/>
    </xf>
    <xf numFmtId="0" fontId="20" fillId="46" borderId="1" xfId="0" applyFont="1" applyFill="1" applyBorder="1" applyAlignment="1">
      <alignment horizontal="center" vertical="center" wrapText="1"/>
    </xf>
    <xf numFmtId="2" fontId="20" fillId="46" borderId="1" xfId="0" applyNumberFormat="1" applyFont="1" applyFill="1" applyBorder="1" applyAlignment="1">
      <alignment horizontal="center" vertical="center" wrapText="1"/>
    </xf>
    <xf numFmtId="3" fontId="28" fillId="48" borderId="1" xfId="52" applyNumberFormat="1" applyFont="1" applyFill="1" applyBorder="1" applyAlignment="1">
      <alignment horizontal="center" vertical="center" wrapText="1"/>
    </xf>
    <xf numFmtId="4" fontId="26" fillId="48" borderId="1" xfId="52" applyNumberFormat="1" applyFont="1" applyFill="1" applyBorder="1" applyAlignment="1">
      <alignment horizontal="center" vertical="center" wrapText="1"/>
    </xf>
    <xf numFmtId="168" fontId="4" fillId="42" borderId="52" xfId="0" applyNumberFormat="1" applyFont="1" applyFill="1" applyBorder="1" applyAlignment="1">
      <alignment horizontal="right" vertical="center"/>
    </xf>
    <xf numFmtId="2" fontId="0" fillId="0" borderId="1" xfId="0" applyNumberFormat="1" applyBorder="1"/>
    <xf numFmtId="0" fontId="0" fillId="0" borderId="1" xfId="0" applyBorder="1"/>
    <xf numFmtId="0" fontId="20" fillId="0" borderId="1" xfId="0" applyFont="1" applyBorder="1" applyAlignment="1">
      <alignment horizontal="center" wrapText="1"/>
    </xf>
    <xf numFmtId="169" fontId="0" fillId="0" borderId="1" xfId="0" applyNumberFormat="1" applyBorder="1"/>
    <xf numFmtId="0" fontId="20" fillId="47" borderId="1" xfId="0" applyFont="1" applyFill="1" applyBorder="1" applyAlignment="1">
      <alignment horizontal="center" vertical="center" wrapText="1"/>
    </xf>
    <xf numFmtId="169" fontId="20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4" fontId="27" fillId="0" borderId="1" xfId="52" applyNumberFormat="1" applyFont="1" applyBorder="1" applyAlignment="1">
      <alignment horizontal="center" vertical="center" wrapText="1"/>
    </xf>
    <xf numFmtId="4" fontId="27" fillId="0" borderId="1" xfId="52" applyNumberFormat="1" applyFont="1" applyFill="1" applyBorder="1" applyAlignment="1">
      <alignment horizontal="center" vertical="center" wrapText="1"/>
    </xf>
    <xf numFmtId="3" fontId="29" fillId="49" borderId="1" xfId="52" applyNumberFormat="1" applyFont="1" applyFill="1" applyBorder="1" applyAlignment="1">
      <alignment horizontal="center" vertical="center" wrapText="1"/>
    </xf>
    <xf numFmtId="4" fontId="29" fillId="49" borderId="1" xfId="5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 applyProtection="1">
      <alignment horizontal="center" vertical="center"/>
    </xf>
    <xf numFmtId="4" fontId="4" fillId="0" borderId="0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170" fontId="0" fillId="0" borderId="0" xfId="0" applyNumberFormat="1"/>
    <xf numFmtId="0" fontId="4" fillId="42" borderId="43" xfId="0" applyFont="1" applyFill="1" applyBorder="1" applyAlignment="1">
      <alignment vertical="center" wrapText="1"/>
    </xf>
    <xf numFmtId="0" fontId="4" fillId="41" borderId="43" xfId="0" applyFont="1" applyFill="1" applyBorder="1" applyAlignment="1">
      <alignment vertical="center" wrapText="1"/>
    </xf>
    <xf numFmtId="4" fontId="26" fillId="48" borderId="1" xfId="52" applyNumberFormat="1" applyFont="1" applyFill="1" applyBorder="1" applyAlignment="1">
      <alignment horizontal="center" vertical="center" wrapText="1"/>
    </xf>
    <xf numFmtId="0" fontId="28" fillId="48" borderId="40" xfId="52" applyFont="1" applyFill="1" applyBorder="1" applyAlignment="1">
      <alignment horizontal="center" vertical="center" wrapText="1"/>
    </xf>
    <xf numFmtId="0" fontId="28" fillId="48" borderId="41" xfId="52" applyFont="1" applyFill="1" applyBorder="1" applyAlignment="1">
      <alignment horizontal="center" vertical="center" wrapText="1"/>
    </xf>
    <xf numFmtId="0" fontId="28" fillId="48" borderId="42" xfId="5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4" fontId="4" fillId="0" borderId="43" xfId="0" applyNumberFormat="1" applyFont="1" applyBorder="1" applyAlignment="1">
      <alignment vertical="center" wrapText="1"/>
    </xf>
    <xf numFmtId="2" fontId="4" fillId="0" borderId="43" xfId="0" applyNumberFormat="1" applyFont="1" applyBorder="1" applyAlignment="1">
      <alignment vertical="center" wrapText="1"/>
    </xf>
    <xf numFmtId="4" fontId="4" fillId="41" borderId="43" xfId="0" applyNumberFormat="1" applyFont="1" applyFill="1" applyBorder="1" applyAlignment="1">
      <alignment vertical="center" wrapText="1"/>
    </xf>
    <xf numFmtId="168" fontId="4" fillId="50" borderId="43" xfId="0" applyNumberFormat="1" applyFont="1" applyFill="1" applyBorder="1" applyAlignment="1">
      <alignment horizontal="right" vertical="center"/>
    </xf>
    <xf numFmtId="43" fontId="0" fillId="51" borderId="0" xfId="0" applyNumberFormat="1" applyFill="1"/>
    <xf numFmtId="0" fontId="0" fillId="0" borderId="0" xfId="0" applyFill="1" applyBorder="1" applyAlignment="1">
      <alignment horizontal="center"/>
    </xf>
    <xf numFmtId="43" fontId="0" fillId="0" borderId="0" xfId="0" applyNumberFormat="1" applyFill="1"/>
    <xf numFmtId="0" fontId="20" fillId="47" borderId="54" xfId="0" applyFont="1" applyFill="1" applyBorder="1" applyAlignment="1">
      <alignment horizontal="center"/>
    </xf>
    <xf numFmtId="0" fontId="0" fillId="48" borderId="1" xfId="0" applyFill="1" applyBorder="1" applyAlignment="1">
      <alignment horizontal="center" vertical="center"/>
    </xf>
    <xf numFmtId="4" fontId="27" fillId="48" borderId="1" xfId="52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0" fillId="0" borderId="0" xfId="0" applyFont="1"/>
    <xf numFmtId="0" fontId="0" fillId="0" borderId="1" xfId="0" applyBorder="1" applyAlignment="1">
      <alignment wrapText="1"/>
    </xf>
    <xf numFmtId="43" fontId="24" fillId="41" borderId="1" xfId="53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5" fontId="3" fillId="0" borderId="56" xfId="0" applyNumberFormat="1" applyFont="1" applyBorder="1" applyAlignment="1">
      <alignment horizontal="center" vertical="center"/>
    </xf>
    <xf numFmtId="4" fontId="0" fillId="38" borderId="1" xfId="0" applyNumberFormat="1" applyFill="1" applyBorder="1" applyAlignment="1">
      <alignment horizontal="center" vertical="center"/>
    </xf>
    <xf numFmtId="4" fontId="0" fillId="38" borderId="1" xfId="0" applyNumberFormat="1" applyFill="1" applyBorder="1" applyAlignment="1">
      <alignment horizontal="center" vertical="center" wrapText="1"/>
    </xf>
    <xf numFmtId="4" fontId="0" fillId="45" borderId="1" xfId="0" applyNumberFormat="1" applyFill="1" applyBorder="1" applyAlignment="1">
      <alignment horizontal="center" vertical="center" wrapText="1"/>
    </xf>
    <xf numFmtId="4" fontId="20" fillId="46" borderId="1" xfId="0" applyNumberFormat="1" applyFont="1" applyFill="1" applyBorder="1" applyAlignment="1">
      <alignment horizontal="center" vertical="center" wrapText="1"/>
    </xf>
    <xf numFmtId="3" fontId="26" fillId="48" borderId="1" xfId="5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8" fillId="48" borderId="40" xfId="52" applyFont="1" applyFill="1" applyBorder="1" applyAlignment="1">
      <alignment horizontal="center" vertical="center" wrapText="1"/>
    </xf>
    <xf numFmtId="0" fontId="28" fillId="48" borderId="41" xfId="52" applyFont="1" applyFill="1" applyBorder="1" applyAlignment="1">
      <alignment horizontal="center" vertical="center" wrapText="1"/>
    </xf>
    <xf numFmtId="0" fontId="28" fillId="48" borderId="42" xfId="5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4" fontId="42" fillId="0" borderId="34" xfId="0" applyNumberFormat="1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4" fontId="42" fillId="0" borderId="36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168" fontId="23" fillId="0" borderId="43" xfId="53" applyNumberFormat="1" applyFont="1" applyFill="1" applyBorder="1" applyAlignment="1" applyProtection="1">
      <alignment horizontal="right" vertical="center"/>
    </xf>
    <xf numFmtId="168" fontId="23" fillId="41" borderId="44" xfId="53" applyNumberFormat="1" applyFont="1" applyFill="1" applyBorder="1" applyAlignment="1" applyProtection="1">
      <alignment horizontal="right"/>
    </xf>
    <xf numFmtId="0" fontId="18" fillId="0" borderId="0" xfId="0" applyFont="1"/>
    <xf numFmtId="168" fontId="23" fillId="0" borderId="43" xfId="0" applyNumberFormat="1" applyFont="1" applyBorder="1" applyAlignment="1">
      <alignment horizontal="right" vertical="center"/>
    </xf>
    <xf numFmtId="169" fontId="0" fillId="0" borderId="0" xfId="0" applyNumberFormat="1"/>
    <xf numFmtId="0" fontId="24" fillId="41" borderId="43" xfId="0" applyFont="1" applyFill="1" applyBorder="1" applyAlignment="1">
      <alignment vertical="center" wrapText="1"/>
    </xf>
    <xf numFmtId="10" fontId="23" fillId="38" borderId="3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6" borderId="0" xfId="0" applyFont="1" applyFill="1" applyBorder="1" applyAlignment="1">
      <alignment horizontal="center" vertical="center"/>
    </xf>
    <xf numFmtId="0" fontId="2" fillId="38" borderId="17" xfId="0" applyFont="1" applyFill="1" applyBorder="1" applyAlignment="1">
      <alignment horizontal="center" vertical="center" wrapText="1"/>
    </xf>
    <xf numFmtId="0" fontId="2" fillId="38" borderId="19" xfId="0" applyFont="1" applyFill="1" applyBorder="1" applyAlignment="1">
      <alignment horizontal="center" vertical="center" wrapText="1"/>
    </xf>
    <xf numFmtId="0" fontId="2" fillId="36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5" fillId="37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6" fillId="44" borderId="43" xfId="0" applyFont="1" applyFill="1" applyBorder="1" applyAlignment="1">
      <alignment horizontal="center" vertical="center" wrapText="1"/>
    </xf>
    <xf numFmtId="0" fontId="37" fillId="0" borderId="43" xfId="0" applyFont="1" applyBorder="1" applyAlignment="1">
      <alignment horizontal="left" vertical="center" wrapText="1"/>
    </xf>
    <xf numFmtId="0" fontId="4" fillId="41" borderId="43" xfId="0" applyFont="1" applyFill="1" applyBorder="1" applyAlignment="1">
      <alignment vertical="center" wrapText="1"/>
    </xf>
    <xf numFmtId="0" fontId="4" fillId="42" borderId="43" xfId="0" applyFont="1" applyFill="1" applyBorder="1" applyAlignment="1">
      <alignment vertical="center" wrapText="1"/>
    </xf>
    <xf numFmtId="0" fontId="4" fillId="40" borderId="43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24" fillId="41" borderId="43" xfId="0" applyFont="1" applyFill="1" applyBorder="1" applyAlignment="1">
      <alignment vertical="center" wrapText="1"/>
    </xf>
    <xf numFmtId="0" fontId="4" fillId="43" borderId="43" xfId="0" applyFont="1" applyFill="1" applyBorder="1" applyAlignment="1">
      <alignment vertical="center" wrapText="1"/>
    </xf>
    <xf numFmtId="0" fontId="30" fillId="40" borderId="4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40" borderId="43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wrapText="1"/>
    </xf>
    <xf numFmtId="0" fontId="4" fillId="50" borderId="50" xfId="0" applyFont="1" applyFill="1" applyBorder="1" applyAlignment="1">
      <alignment horizontal="center" vertical="center" wrapText="1"/>
    </xf>
    <xf numFmtId="0" fontId="4" fillId="50" borderId="51" xfId="0" applyFont="1" applyFill="1" applyBorder="1" applyAlignment="1">
      <alignment horizontal="center" vertical="center" wrapText="1"/>
    </xf>
    <xf numFmtId="0" fontId="20" fillId="47" borderId="54" xfId="0" applyFont="1" applyFill="1" applyBorder="1" applyAlignment="1">
      <alignment horizontal="center"/>
    </xf>
    <xf numFmtId="0" fontId="0" fillId="51" borderId="53" xfId="0" applyFill="1" applyBorder="1" applyAlignment="1">
      <alignment horizontal="center"/>
    </xf>
    <xf numFmtId="0" fontId="20" fillId="0" borderId="40" xfId="0" applyFont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47" borderId="48" xfId="0" applyFont="1" applyFill="1" applyBorder="1" applyAlignment="1">
      <alignment horizontal="center"/>
    </xf>
    <xf numFmtId="0" fontId="20" fillId="47" borderId="39" xfId="0" applyFont="1" applyFill="1" applyBorder="1" applyAlignment="1">
      <alignment horizontal="center"/>
    </xf>
    <xf numFmtId="0" fontId="20" fillId="47" borderId="45" xfId="0" applyFont="1" applyFill="1" applyBorder="1" applyAlignment="1">
      <alignment horizontal="center"/>
    </xf>
    <xf numFmtId="0" fontId="20" fillId="47" borderId="46" xfId="0" applyFont="1" applyFill="1" applyBorder="1" applyAlignment="1">
      <alignment horizontal="center"/>
    </xf>
    <xf numFmtId="0" fontId="4" fillId="42" borderId="52" xfId="0" applyFont="1" applyFill="1" applyBorder="1" applyAlignment="1">
      <alignment vertical="center" wrapText="1"/>
    </xf>
    <xf numFmtId="0" fontId="4" fillId="43" borderId="4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0" fillId="35" borderId="40" xfId="0" applyFont="1" applyFill="1" applyBorder="1" applyAlignment="1">
      <alignment horizontal="center"/>
    </xf>
    <xf numFmtId="0" fontId="20" fillId="35" borderId="41" xfId="0" applyFont="1" applyFill="1" applyBorder="1" applyAlignment="1">
      <alignment horizontal="center"/>
    </xf>
    <xf numFmtId="0" fontId="20" fillId="35" borderId="42" xfId="0" applyFont="1" applyFill="1" applyBorder="1" applyAlignment="1">
      <alignment horizontal="center"/>
    </xf>
    <xf numFmtId="0" fontId="20" fillId="4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0" xfId="0" applyFont="1" applyBorder="1" applyAlignment="1">
      <alignment horizontal="left" wrapText="1"/>
    </xf>
    <xf numFmtId="0" fontId="20" fillId="0" borderId="42" xfId="0" applyFont="1" applyBorder="1" applyAlignment="1">
      <alignment horizontal="left" wrapText="1"/>
    </xf>
    <xf numFmtId="0" fontId="0" fillId="0" borderId="42" xfId="0" applyFont="1" applyBorder="1" applyAlignment="1">
      <alignment horizontal="left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41" fillId="52" borderId="60" xfId="0" applyFont="1" applyFill="1" applyBorder="1" applyAlignment="1">
      <alignment horizontal="center" vertical="center" wrapText="1"/>
    </xf>
    <xf numFmtId="0" fontId="41" fillId="52" borderId="58" xfId="0" applyFont="1" applyFill="1" applyBorder="1" applyAlignment="1">
      <alignment horizontal="center" vertical="center" wrapText="1"/>
    </xf>
    <xf numFmtId="0" fontId="20" fillId="52" borderId="1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9" fillId="47" borderId="1" xfId="52" applyFont="1" applyFill="1" applyBorder="1" applyAlignment="1">
      <alignment horizontal="center" vertical="center"/>
    </xf>
    <xf numFmtId="0" fontId="28" fillId="48" borderId="40" xfId="52" applyFont="1" applyFill="1" applyBorder="1" applyAlignment="1">
      <alignment horizontal="center" vertical="center" wrapText="1"/>
    </xf>
    <xf numFmtId="0" fontId="28" fillId="48" borderId="41" xfId="52" applyFont="1" applyFill="1" applyBorder="1" applyAlignment="1">
      <alignment horizontal="center" vertical="center" wrapText="1"/>
    </xf>
    <xf numFmtId="0" fontId="28" fillId="48" borderId="42" xfId="52" applyFont="1" applyFill="1" applyBorder="1" applyAlignment="1">
      <alignment horizontal="center" vertical="center" wrapText="1"/>
    </xf>
    <xf numFmtId="0" fontId="29" fillId="49" borderId="40" xfId="52" applyFont="1" applyFill="1" applyBorder="1" applyAlignment="1">
      <alignment horizontal="center" vertical="center" wrapText="1"/>
    </xf>
    <xf numFmtId="0" fontId="29" fillId="49" borderId="41" xfId="52" applyFont="1" applyFill="1" applyBorder="1" applyAlignment="1">
      <alignment horizontal="center" vertical="center" wrapText="1"/>
    </xf>
    <xf numFmtId="0" fontId="29" fillId="49" borderId="42" xfId="52" applyFont="1" applyFill="1" applyBorder="1" applyAlignment="1">
      <alignment horizontal="center" vertical="center" wrapText="1"/>
    </xf>
    <xf numFmtId="170" fontId="0" fillId="0" borderId="55" xfId="0" applyNumberFormat="1" applyBorder="1" applyAlignment="1">
      <alignment horizontal="center"/>
    </xf>
    <xf numFmtId="0" fontId="28" fillId="48" borderId="45" xfId="52" applyFont="1" applyFill="1" applyBorder="1" applyAlignment="1">
      <alignment horizontal="center" vertical="center" wrapText="1"/>
    </xf>
    <xf numFmtId="0" fontId="28" fillId="48" borderId="46" xfId="52" applyFont="1" applyFill="1" applyBorder="1" applyAlignment="1">
      <alignment horizontal="center" vertical="center" wrapText="1"/>
    </xf>
    <xf numFmtId="0" fontId="28" fillId="48" borderId="47" xfId="52" applyFont="1" applyFill="1" applyBorder="1" applyAlignment="1">
      <alignment horizontal="center" vertical="center" wrapText="1"/>
    </xf>
    <xf numFmtId="0" fontId="28" fillId="48" borderId="48" xfId="52" applyFont="1" applyFill="1" applyBorder="1" applyAlignment="1">
      <alignment horizontal="center" vertical="center" wrapText="1"/>
    </xf>
    <xf numFmtId="0" fontId="28" fillId="48" borderId="39" xfId="52" applyFont="1" applyFill="1" applyBorder="1" applyAlignment="1">
      <alignment horizontal="center" vertical="center" wrapText="1"/>
    </xf>
    <xf numFmtId="0" fontId="28" fillId="48" borderId="49" xfId="52" applyFont="1" applyFill="1" applyBorder="1" applyAlignment="1">
      <alignment horizontal="center" vertical="center" wrapText="1"/>
    </xf>
    <xf numFmtId="4" fontId="26" fillId="48" borderId="1" xfId="52" applyNumberFormat="1" applyFont="1" applyFill="1" applyBorder="1" applyAlignment="1">
      <alignment horizontal="center" vertical="center" wrapText="1"/>
    </xf>
    <xf numFmtId="0" fontId="29" fillId="0" borderId="0" xfId="52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47" borderId="1" xfId="0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54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Incorreto" xfId="11" builtinId="27" customBuiltin="1"/>
    <cellStyle name="Neutra" xfId="12" builtinId="28" customBuiltin="1"/>
    <cellStyle name="Normal" xfId="0" builtinId="0"/>
    <cellStyle name="Normal 2" xfId="47"/>
    <cellStyle name="Normal 3" xfId="52"/>
    <cellStyle name="Nota" xfId="19" builtinId="10" customBuiltin="1"/>
    <cellStyle name="Porcentagem" xfId="1" builtinId="5"/>
    <cellStyle name="Saída" xfId="14" builtinId="21" customBuiltin="1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" xfId="53" builtinId="3"/>
    <cellStyle name="Vírgula 2" xfId="2"/>
    <cellStyle name="Vírgula 3" xfId="4"/>
    <cellStyle name="Vírgula 3 2" xfId="50"/>
    <cellStyle name="Vírgula 4" xfId="3"/>
    <cellStyle name="Vírgula 4 2" xfId="49"/>
    <cellStyle name="Vírgula 5" xfId="46"/>
    <cellStyle name="Vírgula 5 2" xfId="51"/>
    <cellStyle name="Vírgula 6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showGridLines="0" topLeftCell="A114" zoomScaleNormal="100" workbookViewId="0">
      <selection activeCell="C119" sqref="C119:C120"/>
    </sheetView>
  </sheetViews>
  <sheetFormatPr defaultRowHeight="15.75" x14ac:dyDescent="0.25"/>
  <cols>
    <col min="1" max="1" width="16.28515625" style="36" customWidth="1"/>
    <col min="2" max="2" width="72.140625" style="36" customWidth="1"/>
    <col min="3" max="3" width="18" style="36" customWidth="1"/>
    <col min="4" max="4" width="14.28515625" style="36" customWidth="1"/>
    <col min="5" max="5" width="12.7109375" style="36" customWidth="1"/>
    <col min="6" max="6" width="12" style="36" customWidth="1"/>
    <col min="7" max="7" width="15.140625" style="36" customWidth="1"/>
    <col min="8" max="16384" width="9.140625" style="36"/>
  </cols>
  <sheetData>
    <row r="1" spans="1:4" ht="23.25" x14ac:dyDescent="0.35">
      <c r="A1" s="200" t="s">
        <v>107</v>
      </c>
      <c r="B1" s="200"/>
      <c r="C1" s="200"/>
      <c r="D1" s="200"/>
    </row>
    <row r="2" spans="1:4" ht="23.25" x14ac:dyDescent="0.35">
      <c r="A2" s="200" t="s">
        <v>108</v>
      </c>
      <c r="B2" s="200"/>
      <c r="C2" s="200"/>
      <c r="D2" s="200"/>
    </row>
    <row r="3" spans="1:4" ht="27.75" customHeight="1" x14ac:dyDescent="0.25">
      <c r="A3" s="202" t="s">
        <v>109</v>
      </c>
      <c r="B3" s="202"/>
      <c r="C3" s="202"/>
      <c r="D3" s="202"/>
    </row>
    <row r="4" spans="1:4" x14ac:dyDescent="0.25">
      <c r="A4" s="57" t="s">
        <v>117</v>
      </c>
      <c r="B4" s="197" t="s">
        <v>370</v>
      </c>
      <c r="C4" s="197"/>
    </row>
    <row r="5" spans="1:4" x14ac:dyDescent="0.25">
      <c r="A5" s="57" t="s">
        <v>118</v>
      </c>
      <c r="B5" s="197" t="s">
        <v>134</v>
      </c>
      <c r="C5" s="197"/>
    </row>
    <row r="6" spans="1:4" x14ac:dyDescent="0.25">
      <c r="A6" s="57" t="s">
        <v>119</v>
      </c>
      <c r="B6" s="197" t="s">
        <v>351</v>
      </c>
      <c r="C6" s="197"/>
    </row>
    <row r="7" spans="1:4" x14ac:dyDescent="0.25">
      <c r="A7" s="201" t="s">
        <v>39</v>
      </c>
      <c r="B7" s="201"/>
      <c r="C7" s="201"/>
    </row>
    <row r="8" spans="1:4" ht="16.5" thickBot="1" x14ac:dyDescent="0.3"/>
    <row r="9" spans="1:4" ht="16.5" thickBot="1" x14ac:dyDescent="0.3">
      <c r="A9" s="28">
        <v>1</v>
      </c>
      <c r="B9" s="29" t="s">
        <v>40</v>
      </c>
      <c r="C9" s="29" t="s">
        <v>41</v>
      </c>
    </row>
    <row r="10" spans="1:4" ht="16.5" thickBot="1" x14ac:dyDescent="0.3">
      <c r="A10" s="30" t="s">
        <v>42</v>
      </c>
      <c r="B10" s="31" t="s">
        <v>43</v>
      </c>
      <c r="C10" s="44">
        <v>1912.33</v>
      </c>
    </row>
    <row r="11" spans="1:4" ht="16.5" thickBot="1" x14ac:dyDescent="0.3">
      <c r="A11" s="30" t="s">
        <v>44</v>
      </c>
      <c r="B11" s="31" t="s">
        <v>45</v>
      </c>
      <c r="C11" s="44"/>
    </row>
    <row r="12" spans="1:4" ht="16.5" thickBot="1" x14ac:dyDescent="0.3">
      <c r="A12" s="30" t="s">
        <v>46</v>
      </c>
      <c r="B12" s="31" t="s">
        <v>47</v>
      </c>
      <c r="C12" s="84"/>
    </row>
    <row r="13" spans="1:4" ht="16.5" thickBot="1" x14ac:dyDescent="0.3">
      <c r="A13" s="30" t="s">
        <v>48</v>
      </c>
      <c r="B13" s="60" t="s">
        <v>4</v>
      </c>
      <c r="C13" s="85"/>
    </row>
    <row r="14" spans="1:4" ht="16.5" thickBot="1" x14ac:dyDescent="0.3">
      <c r="A14" s="30" t="s">
        <v>49</v>
      </c>
      <c r="B14" s="60" t="s">
        <v>50</v>
      </c>
      <c r="C14" s="85"/>
    </row>
    <row r="15" spans="1:4" ht="16.5" thickBot="1" x14ac:dyDescent="0.3">
      <c r="A15" s="30" t="s">
        <v>51</v>
      </c>
      <c r="B15" s="60"/>
      <c r="C15" s="57"/>
    </row>
    <row r="16" spans="1:4" ht="16.5" thickBot="1" x14ac:dyDescent="0.3">
      <c r="A16" s="30" t="s">
        <v>52</v>
      </c>
      <c r="B16" s="60" t="s">
        <v>53</v>
      </c>
      <c r="C16" s="85"/>
    </row>
    <row r="17" spans="1:4" ht="16.5" thickBot="1" x14ac:dyDescent="0.3">
      <c r="A17" s="190" t="s">
        <v>5</v>
      </c>
      <c r="B17" s="191"/>
      <c r="C17" s="64">
        <f>SUM(C10:C16)</f>
        <v>1912.33</v>
      </c>
    </row>
    <row r="18" spans="1:4" x14ac:dyDescent="0.25">
      <c r="A18" s="198"/>
      <c r="B18" s="198"/>
      <c r="C18" s="198"/>
    </row>
    <row r="19" spans="1:4" x14ac:dyDescent="0.25">
      <c r="A19" s="199"/>
      <c r="B19" s="199"/>
      <c r="C19" s="199"/>
    </row>
    <row r="20" spans="1:4" x14ac:dyDescent="0.25">
      <c r="A20" s="192" t="s">
        <v>54</v>
      </c>
      <c r="B20" s="192"/>
      <c r="C20" s="192"/>
    </row>
    <row r="21" spans="1:4" x14ac:dyDescent="0.25">
      <c r="A21" s="27"/>
    </row>
    <row r="22" spans="1:4" x14ac:dyDescent="0.25">
      <c r="A22" s="193" t="s">
        <v>55</v>
      </c>
      <c r="B22" s="193"/>
      <c r="C22" s="193"/>
    </row>
    <row r="23" spans="1:4" ht="16.5" thickBot="1" x14ac:dyDescent="0.3"/>
    <row r="24" spans="1:4" ht="16.5" thickBot="1" x14ac:dyDescent="0.3">
      <c r="A24" s="28" t="s">
        <v>56</v>
      </c>
      <c r="B24" s="29" t="s">
        <v>57</v>
      </c>
      <c r="C24" s="29" t="s">
        <v>63</v>
      </c>
      <c r="D24" s="42" t="s">
        <v>41</v>
      </c>
    </row>
    <row r="25" spans="1:4" ht="16.5" thickBot="1" x14ac:dyDescent="0.3">
      <c r="A25" s="30" t="s">
        <v>42</v>
      </c>
      <c r="B25" s="60" t="s">
        <v>58</v>
      </c>
      <c r="C25" s="56">
        <f>1/12</f>
        <v>8.3333333333333329E-2</v>
      </c>
      <c r="D25" s="61">
        <f>C$17*C25</f>
        <v>159.36083333333332</v>
      </c>
    </row>
    <row r="26" spans="1:4" ht="16.5" thickBot="1" x14ac:dyDescent="0.3">
      <c r="A26" s="30" t="s">
        <v>44</v>
      </c>
      <c r="B26" s="58" t="s">
        <v>59</v>
      </c>
      <c r="C26" s="62">
        <v>0.1111</v>
      </c>
      <c r="D26" s="63">
        <f>C$17*C26</f>
        <v>212.45986300000001</v>
      </c>
    </row>
    <row r="27" spans="1:4" ht="16.5" thickBot="1" x14ac:dyDescent="0.3">
      <c r="A27" s="190" t="s">
        <v>5</v>
      </c>
      <c r="B27" s="191"/>
      <c r="C27" s="65">
        <f>SUM(C25:C26)</f>
        <v>0.19443333333333335</v>
      </c>
      <c r="D27" s="66">
        <f>C$17*C27</f>
        <v>371.82069633333333</v>
      </c>
    </row>
    <row r="30" spans="1:4" ht="32.25" customHeight="1" x14ac:dyDescent="0.25">
      <c r="A30" s="196" t="s">
        <v>60</v>
      </c>
      <c r="B30" s="196"/>
      <c r="C30" s="196"/>
      <c r="D30" s="196"/>
    </row>
    <row r="31" spans="1:4" ht="16.5" thickBot="1" x14ac:dyDescent="0.3"/>
    <row r="32" spans="1:4" ht="16.5" thickBot="1" x14ac:dyDescent="0.3">
      <c r="A32" s="28" t="s">
        <v>61</v>
      </c>
      <c r="B32" s="29" t="s">
        <v>62</v>
      </c>
      <c r="C32" s="29" t="s">
        <v>63</v>
      </c>
      <c r="D32" s="29" t="s">
        <v>41</v>
      </c>
    </row>
    <row r="33" spans="1:4" ht="16.5" thickBot="1" x14ac:dyDescent="0.3">
      <c r="A33" s="30" t="s">
        <v>42</v>
      </c>
      <c r="B33" s="31" t="s">
        <v>64</v>
      </c>
      <c r="C33" s="33">
        <v>0.2</v>
      </c>
      <c r="D33" s="63">
        <f t="shared" ref="D33:D41" si="0">(D$27+C$17)*C33</f>
        <v>456.83013926666666</v>
      </c>
    </row>
    <row r="34" spans="1:4" ht="16.5" thickBot="1" x14ac:dyDescent="0.3">
      <c r="A34" s="30" t="s">
        <v>44</v>
      </c>
      <c r="B34" s="31" t="s">
        <v>65</v>
      </c>
      <c r="C34" s="33">
        <v>2.5000000000000001E-2</v>
      </c>
      <c r="D34" s="63">
        <f t="shared" si="0"/>
        <v>57.103767408333333</v>
      </c>
    </row>
    <row r="35" spans="1:4" ht="16.5" thickBot="1" x14ac:dyDescent="0.3">
      <c r="A35" s="30" t="s">
        <v>46</v>
      </c>
      <c r="B35" s="31" t="s">
        <v>66</v>
      </c>
      <c r="C35" s="45">
        <v>0.01</v>
      </c>
      <c r="D35" s="63">
        <f t="shared" si="0"/>
        <v>22.84150696333333</v>
      </c>
    </row>
    <row r="36" spans="1:4" ht="16.5" thickBot="1" x14ac:dyDescent="0.3">
      <c r="A36" s="30" t="s">
        <v>48</v>
      </c>
      <c r="B36" s="31" t="s">
        <v>67</v>
      </c>
      <c r="C36" s="33">
        <v>1.4999999999999999E-2</v>
      </c>
      <c r="D36" s="63">
        <f t="shared" si="0"/>
        <v>34.262260444999995</v>
      </c>
    </row>
    <row r="37" spans="1:4" ht="16.5" thickBot="1" x14ac:dyDescent="0.3">
      <c r="A37" s="30" t="s">
        <v>49</v>
      </c>
      <c r="B37" s="31" t="s">
        <v>68</v>
      </c>
      <c r="C37" s="33">
        <v>0.01</v>
      </c>
      <c r="D37" s="63">
        <f t="shared" si="0"/>
        <v>22.84150696333333</v>
      </c>
    </row>
    <row r="38" spans="1:4" ht="16.5" thickBot="1" x14ac:dyDescent="0.3">
      <c r="A38" s="30" t="s">
        <v>51</v>
      </c>
      <c r="B38" s="31" t="s">
        <v>7</v>
      </c>
      <c r="C38" s="33">
        <v>6.0000000000000001E-3</v>
      </c>
      <c r="D38" s="63">
        <f t="shared" si="0"/>
        <v>13.704904178</v>
      </c>
    </row>
    <row r="39" spans="1:4" ht="16.5" thickBot="1" x14ac:dyDescent="0.3">
      <c r="A39" s="30" t="s">
        <v>52</v>
      </c>
      <c r="B39" s="31" t="s">
        <v>8</v>
      </c>
      <c r="C39" s="33">
        <v>2E-3</v>
      </c>
      <c r="D39" s="63">
        <f t="shared" si="0"/>
        <v>4.5683013926666662</v>
      </c>
    </row>
    <row r="40" spans="1:4" ht="16.5" thickBot="1" x14ac:dyDescent="0.3">
      <c r="A40" s="30" t="s">
        <v>69</v>
      </c>
      <c r="B40" s="31" t="s">
        <v>9</v>
      </c>
      <c r="C40" s="33">
        <v>0.08</v>
      </c>
      <c r="D40" s="63">
        <f t="shared" si="0"/>
        <v>182.73205570666664</v>
      </c>
    </row>
    <row r="41" spans="1:4" ht="16.5" thickBot="1" x14ac:dyDescent="0.3">
      <c r="A41" s="190" t="s">
        <v>70</v>
      </c>
      <c r="B41" s="191"/>
      <c r="C41" s="33">
        <f>SUM(C33:C40)</f>
        <v>0.34800000000000003</v>
      </c>
      <c r="D41" s="63">
        <f t="shared" si="0"/>
        <v>794.88444232400002</v>
      </c>
    </row>
    <row r="44" spans="1:4" x14ac:dyDescent="0.25">
      <c r="A44" s="193" t="s">
        <v>71</v>
      </c>
      <c r="B44" s="193"/>
      <c r="C44" s="193"/>
    </row>
    <row r="45" spans="1:4" ht="16.5" thickBot="1" x14ac:dyDescent="0.3"/>
    <row r="46" spans="1:4" ht="16.5" thickBot="1" x14ac:dyDescent="0.3">
      <c r="A46" s="28" t="s">
        <v>72</v>
      </c>
      <c r="B46" s="29" t="s">
        <v>73</v>
      </c>
      <c r="C46" s="29" t="s">
        <v>41</v>
      </c>
    </row>
    <row r="47" spans="1:4" ht="16.5" thickBot="1" x14ac:dyDescent="0.3">
      <c r="A47" s="30" t="s">
        <v>42</v>
      </c>
      <c r="B47" s="31" t="s">
        <v>74</v>
      </c>
      <c r="C47" s="44">
        <v>0</v>
      </c>
    </row>
    <row r="48" spans="1:4" ht="16.5" thickBot="1" x14ac:dyDescent="0.3">
      <c r="A48" s="30" t="s">
        <v>44</v>
      </c>
      <c r="B48" s="31" t="s">
        <v>120</v>
      </c>
      <c r="C48" s="44">
        <f>'Planilhas de Apoio'!D22</f>
        <v>462</v>
      </c>
    </row>
    <row r="49" spans="1:3" ht="16.5" thickBot="1" x14ac:dyDescent="0.3">
      <c r="A49" s="30" t="s">
        <v>46</v>
      </c>
      <c r="B49" s="31" t="s">
        <v>131</v>
      </c>
      <c r="C49" s="44">
        <v>0</v>
      </c>
    </row>
    <row r="50" spans="1:3" ht="16.5" thickBot="1" x14ac:dyDescent="0.3">
      <c r="A50" s="73" t="s">
        <v>48</v>
      </c>
      <c r="B50" s="72" t="s">
        <v>144</v>
      </c>
      <c r="C50" s="44"/>
    </row>
    <row r="51" spans="1:3" ht="16.5" thickBot="1" x14ac:dyDescent="0.3">
      <c r="A51" s="73" t="s">
        <v>49</v>
      </c>
      <c r="B51" s="59" t="s">
        <v>138</v>
      </c>
      <c r="C51" s="44">
        <f>'Planilhas de Apoio'!E3</f>
        <v>4667.7</v>
      </c>
    </row>
    <row r="52" spans="1:3" ht="16.5" thickBot="1" x14ac:dyDescent="0.3">
      <c r="A52" s="203" t="s">
        <v>5</v>
      </c>
      <c r="B52" s="204"/>
      <c r="C52" s="44">
        <f>SUM(C47:C51)</f>
        <v>5129.7</v>
      </c>
    </row>
    <row r="55" spans="1:3" x14ac:dyDescent="0.25">
      <c r="A55" s="193" t="s">
        <v>75</v>
      </c>
      <c r="B55" s="193"/>
      <c r="C55" s="193"/>
    </row>
    <row r="56" spans="1:3" ht="16.5" thickBot="1" x14ac:dyDescent="0.3"/>
    <row r="57" spans="1:3" ht="16.5" thickBot="1" x14ac:dyDescent="0.3">
      <c r="A57" s="28">
        <v>2</v>
      </c>
      <c r="B57" s="29" t="s">
        <v>76</v>
      </c>
      <c r="C57" s="29" t="s">
        <v>41</v>
      </c>
    </row>
    <row r="58" spans="1:3" ht="16.5" thickBot="1" x14ac:dyDescent="0.3">
      <c r="A58" s="30" t="s">
        <v>56</v>
      </c>
      <c r="B58" s="31" t="s">
        <v>57</v>
      </c>
      <c r="C58" s="44">
        <f>D27</f>
        <v>371.82069633333333</v>
      </c>
    </row>
    <row r="59" spans="1:3" ht="16.5" thickBot="1" x14ac:dyDescent="0.3">
      <c r="A59" s="30" t="s">
        <v>61</v>
      </c>
      <c r="B59" s="31" t="s">
        <v>62</v>
      </c>
      <c r="C59" s="44">
        <f>D41</f>
        <v>794.88444232400002</v>
      </c>
    </row>
    <row r="60" spans="1:3" ht="16.5" thickBot="1" x14ac:dyDescent="0.3">
      <c r="A60" s="30" t="s">
        <v>72</v>
      </c>
      <c r="B60" s="31" t="s">
        <v>73</v>
      </c>
      <c r="C60" s="44">
        <f>C52</f>
        <v>5129.7</v>
      </c>
    </row>
    <row r="61" spans="1:3" ht="16.5" thickBot="1" x14ac:dyDescent="0.3">
      <c r="A61" s="190" t="s">
        <v>5</v>
      </c>
      <c r="B61" s="191"/>
      <c r="C61" s="44">
        <f>SUM(C58:C60)</f>
        <v>6296.4051386573337</v>
      </c>
    </row>
    <row r="62" spans="1:3" x14ac:dyDescent="0.25">
      <c r="A62" s="6"/>
    </row>
    <row r="64" spans="1:3" x14ac:dyDescent="0.25">
      <c r="A64" s="192" t="s">
        <v>77</v>
      </c>
      <c r="B64" s="192"/>
      <c r="C64" s="192"/>
    </row>
    <row r="65" spans="1:4" ht="16.5" thickBot="1" x14ac:dyDescent="0.3"/>
    <row r="66" spans="1:4" ht="16.5" thickBot="1" x14ac:dyDescent="0.3">
      <c r="A66" s="28">
        <v>3</v>
      </c>
      <c r="B66" s="29" t="s">
        <v>78</v>
      </c>
      <c r="C66" s="42" t="s">
        <v>63</v>
      </c>
      <c r="D66" s="42" t="s">
        <v>41</v>
      </c>
    </row>
    <row r="67" spans="1:4" ht="16.5" thickBot="1" x14ac:dyDescent="0.3">
      <c r="A67" s="30" t="s">
        <v>42</v>
      </c>
      <c r="B67" s="34" t="s">
        <v>79</v>
      </c>
      <c r="C67" s="53">
        <v>4.1999999999999997E-3</v>
      </c>
      <c r="D67" s="44">
        <f>(C$17)*C67</f>
        <v>8.0317859999999985</v>
      </c>
    </row>
    <row r="68" spans="1:4" ht="16.5" thickBot="1" x14ac:dyDescent="0.3">
      <c r="A68" s="30" t="s">
        <v>44</v>
      </c>
      <c r="B68" s="51" t="s">
        <v>80</v>
      </c>
      <c r="C68" s="54">
        <f>C67*8%</f>
        <v>3.3599999999999998E-4</v>
      </c>
      <c r="D68" s="44">
        <f t="shared" ref="D68:D73" si="1">(C$17)*C68</f>
        <v>0.64254287999999993</v>
      </c>
    </row>
    <row r="69" spans="1:4" ht="16.5" thickBot="1" x14ac:dyDescent="0.3">
      <c r="A69" s="30" t="s">
        <v>46</v>
      </c>
      <c r="B69" s="34" t="s">
        <v>81</v>
      </c>
      <c r="C69" s="52">
        <v>4.3499999999999997E-2</v>
      </c>
      <c r="D69" s="44">
        <f t="shared" si="1"/>
        <v>83.186354999999992</v>
      </c>
    </row>
    <row r="70" spans="1:4" ht="16.5" thickBot="1" x14ac:dyDescent="0.3">
      <c r="A70" s="30" t="s">
        <v>48</v>
      </c>
      <c r="B70" s="34" t="s">
        <v>82</v>
      </c>
      <c r="C70" s="55">
        <v>1.9400000000000001E-2</v>
      </c>
      <c r="D70" s="44">
        <f t="shared" si="1"/>
        <v>37.099201999999998</v>
      </c>
    </row>
    <row r="71" spans="1:4" ht="16.5" thickBot="1" x14ac:dyDescent="0.3">
      <c r="A71" s="30" t="s">
        <v>49</v>
      </c>
      <c r="B71" s="34" t="s">
        <v>83</v>
      </c>
      <c r="C71" s="52">
        <v>7.0000000000000001E-3</v>
      </c>
      <c r="D71" s="44">
        <f t="shared" si="1"/>
        <v>13.38631</v>
      </c>
    </row>
    <row r="72" spans="1:4" ht="16.5" thickBot="1" x14ac:dyDescent="0.3">
      <c r="A72" s="30" t="s">
        <v>51</v>
      </c>
      <c r="B72" s="34" t="s">
        <v>84</v>
      </c>
      <c r="C72" s="52">
        <v>8.0000000000000004E-4</v>
      </c>
      <c r="D72" s="44">
        <f t="shared" si="1"/>
        <v>1.5298640000000001</v>
      </c>
    </row>
    <row r="73" spans="1:4" ht="16.5" thickBot="1" x14ac:dyDescent="0.3">
      <c r="A73" s="190" t="s">
        <v>5</v>
      </c>
      <c r="B73" s="191"/>
      <c r="C73" s="52">
        <f>SUM(C67:C72)</f>
        <v>7.5235999999999997E-2</v>
      </c>
      <c r="D73" s="44">
        <f t="shared" si="1"/>
        <v>143.87605987999999</v>
      </c>
    </row>
    <row r="76" spans="1:4" x14ac:dyDescent="0.25">
      <c r="A76" s="192" t="s">
        <v>85</v>
      </c>
      <c r="B76" s="192"/>
      <c r="C76" s="192"/>
    </row>
    <row r="79" spans="1:4" x14ac:dyDescent="0.25">
      <c r="A79" s="193" t="s">
        <v>86</v>
      </c>
      <c r="B79" s="193"/>
      <c r="C79" s="193"/>
    </row>
    <row r="80" spans="1:4" ht="16.5" thickBot="1" x14ac:dyDescent="0.3">
      <c r="A80" s="27"/>
    </row>
    <row r="81" spans="1:4" ht="16.5" thickBot="1" x14ac:dyDescent="0.3">
      <c r="A81" s="28" t="s">
        <v>87</v>
      </c>
      <c r="B81" s="29" t="s">
        <v>88</v>
      </c>
      <c r="C81" s="42" t="s">
        <v>63</v>
      </c>
      <c r="D81" s="42" t="s">
        <v>41</v>
      </c>
    </row>
    <row r="82" spans="1:4" ht="16.5" thickBot="1" x14ac:dyDescent="0.3">
      <c r="A82" s="30" t="s">
        <v>42</v>
      </c>
      <c r="B82" s="31" t="s">
        <v>6</v>
      </c>
      <c r="C82" s="52">
        <v>8.3299999999999999E-2</v>
      </c>
      <c r="D82" s="44">
        <f>(C$17)*C82</f>
        <v>159.297089</v>
      </c>
    </row>
    <row r="83" spans="1:4" ht="16.5" thickBot="1" x14ac:dyDescent="0.3">
      <c r="A83" s="30" t="s">
        <v>44</v>
      </c>
      <c r="B83" s="31" t="s">
        <v>88</v>
      </c>
      <c r="C83" s="52">
        <v>8.2000000000000007E-3</v>
      </c>
      <c r="D83" s="44">
        <f t="shared" ref="D83:D88" si="2">(C$17)*C83</f>
        <v>15.681106000000002</v>
      </c>
    </row>
    <row r="84" spans="1:4" ht="16.5" thickBot="1" x14ac:dyDescent="0.3">
      <c r="A84" s="30" t="s">
        <v>46</v>
      </c>
      <c r="B84" s="31" t="s">
        <v>89</v>
      </c>
      <c r="C84" s="52">
        <v>2.0000000000000001E-4</v>
      </c>
      <c r="D84" s="44">
        <f t="shared" si="2"/>
        <v>0.38246600000000003</v>
      </c>
    </row>
    <row r="85" spans="1:4" ht="16.5" thickBot="1" x14ac:dyDescent="0.3">
      <c r="A85" s="30" t="s">
        <v>48</v>
      </c>
      <c r="B85" s="31" t="s">
        <v>90</v>
      </c>
      <c r="C85" s="52">
        <v>2.9999999999999997E-4</v>
      </c>
      <c r="D85" s="44">
        <f t="shared" si="2"/>
        <v>0.57369899999999996</v>
      </c>
    </row>
    <row r="86" spans="1:4" ht="16.5" thickBot="1" x14ac:dyDescent="0.3">
      <c r="A86" s="30" t="s">
        <v>49</v>
      </c>
      <c r="B86" s="31" t="s">
        <v>91</v>
      </c>
      <c r="C86" s="52">
        <v>6.1000000000000004E-3</v>
      </c>
      <c r="D86" s="44">
        <f t="shared" si="2"/>
        <v>11.665213</v>
      </c>
    </row>
    <row r="87" spans="1:4" ht="16.5" thickBot="1" x14ac:dyDescent="0.3">
      <c r="A87" s="30" t="s">
        <v>51</v>
      </c>
      <c r="B87" s="31" t="s">
        <v>53</v>
      </c>
      <c r="C87" s="52">
        <v>0</v>
      </c>
      <c r="D87" s="44">
        <f t="shared" si="2"/>
        <v>0</v>
      </c>
    </row>
    <row r="88" spans="1:4" ht="16.5" thickBot="1" x14ac:dyDescent="0.3">
      <c r="A88" s="190" t="s">
        <v>70</v>
      </c>
      <c r="B88" s="191"/>
      <c r="C88" s="52">
        <v>9.8100000000000007E-2</v>
      </c>
      <c r="D88" s="44">
        <f t="shared" si="2"/>
        <v>187.59957299999999</v>
      </c>
    </row>
    <row r="91" spans="1:4" x14ac:dyDescent="0.25">
      <c r="A91" s="193" t="s">
        <v>92</v>
      </c>
      <c r="B91" s="193"/>
      <c r="C91" s="193"/>
    </row>
    <row r="92" spans="1:4" ht="16.5" thickBot="1" x14ac:dyDescent="0.3">
      <c r="A92" s="27"/>
    </row>
    <row r="93" spans="1:4" ht="16.5" thickBot="1" x14ac:dyDescent="0.3">
      <c r="A93" s="28" t="s">
        <v>93</v>
      </c>
      <c r="B93" s="29" t="s">
        <v>94</v>
      </c>
      <c r="C93" s="29" t="s">
        <v>41</v>
      </c>
    </row>
    <row r="94" spans="1:4" ht="16.5" thickBot="1" x14ac:dyDescent="0.3">
      <c r="A94" s="30" t="s">
        <v>42</v>
      </c>
      <c r="B94" s="31" t="s">
        <v>110</v>
      </c>
      <c r="C94" s="32"/>
    </row>
    <row r="95" spans="1:4" ht="16.5" thickBot="1" x14ac:dyDescent="0.3">
      <c r="A95" s="190" t="s">
        <v>5</v>
      </c>
      <c r="B95" s="191"/>
      <c r="C95" s="32"/>
    </row>
    <row r="98" spans="1:3" x14ac:dyDescent="0.25">
      <c r="A98" s="193" t="s">
        <v>95</v>
      </c>
      <c r="B98" s="193"/>
      <c r="C98" s="193"/>
    </row>
    <row r="99" spans="1:3" ht="16.5" thickBot="1" x14ac:dyDescent="0.3">
      <c r="A99" s="27"/>
    </row>
    <row r="100" spans="1:3" ht="16.5" thickBot="1" x14ac:dyDescent="0.3">
      <c r="A100" s="28">
        <v>4</v>
      </c>
      <c r="B100" s="29" t="s">
        <v>96</v>
      </c>
      <c r="C100" s="29" t="s">
        <v>41</v>
      </c>
    </row>
    <row r="101" spans="1:3" ht="16.5" thickBot="1" x14ac:dyDescent="0.3">
      <c r="A101" s="30" t="s">
        <v>87</v>
      </c>
      <c r="B101" s="31" t="s">
        <v>88</v>
      </c>
      <c r="C101" s="44">
        <f>D88</f>
        <v>187.59957299999999</v>
      </c>
    </row>
    <row r="102" spans="1:3" ht="16.5" thickBot="1" x14ac:dyDescent="0.3">
      <c r="A102" s="30" t="s">
        <v>93</v>
      </c>
      <c r="B102" s="31" t="s">
        <v>94</v>
      </c>
      <c r="C102" s="44">
        <f>C95</f>
        <v>0</v>
      </c>
    </row>
    <row r="103" spans="1:3" ht="16.5" thickBot="1" x14ac:dyDescent="0.3">
      <c r="A103" s="190" t="s">
        <v>5</v>
      </c>
      <c r="B103" s="191"/>
      <c r="C103" s="64">
        <f>C101+C102</f>
        <v>187.59957299999999</v>
      </c>
    </row>
    <row r="106" spans="1:3" x14ac:dyDescent="0.25">
      <c r="A106" s="192" t="s">
        <v>97</v>
      </c>
      <c r="B106" s="192"/>
      <c r="C106" s="192"/>
    </row>
    <row r="107" spans="1:3" ht="16.5" thickBot="1" x14ac:dyDescent="0.3"/>
    <row r="108" spans="1:3" ht="16.5" thickBot="1" x14ac:dyDescent="0.3">
      <c r="A108" s="28">
        <v>5</v>
      </c>
      <c r="B108" s="35" t="s">
        <v>24</v>
      </c>
      <c r="C108" s="29" t="s">
        <v>41</v>
      </c>
    </row>
    <row r="109" spans="1:3" ht="16.5" thickBot="1" x14ac:dyDescent="0.3">
      <c r="A109" s="30" t="s">
        <v>42</v>
      </c>
      <c r="B109" s="31" t="s">
        <v>98</v>
      </c>
      <c r="C109" s="44">
        <f>'Planilhas de Apoio'!C39</f>
        <v>86.948888888888902</v>
      </c>
    </row>
    <row r="110" spans="1:3" ht="16.5" thickBot="1" x14ac:dyDescent="0.3">
      <c r="A110" s="30" t="s">
        <v>44</v>
      </c>
      <c r="B110" s="31" t="s">
        <v>310</v>
      </c>
      <c r="C110" s="44">
        <f>'Planilhas de Apoio'!J90</f>
        <v>61.12166666666667</v>
      </c>
    </row>
    <row r="111" spans="1:3" ht="16.5" thickBot="1" x14ac:dyDescent="0.3">
      <c r="A111" s="30" t="s">
        <v>46</v>
      </c>
      <c r="B111" s="31" t="s">
        <v>296</v>
      </c>
      <c r="C111" s="44">
        <f>'Planilhas de Apoio'!J76</f>
        <v>221.06788888888889</v>
      </c>
    </row>
    <row r="112" spans="1:3" ht="16.5" thickBot="1" x14ac:dyDescent="0.3">
      <c r="A112" s="30" t="s">
        <v>48</v>
      </c>
      <c r="B112" s="31" t="s">
        <v>316</v>
      </c>
      <c r="C112" s="44">
        <f>'Planilhas de Apoio'!J97</f>
        <v>49.967222222222212</v>
      </c>
    </row>
    <row r="113" spans="1:4" ht="16.5" thickBot="1" x14ac:dyDescent="0.3">
      <c r="A113" s="190" t="s">
        <v>70</v>
      </c>
      <c r="B113" s="191"/>
      <c r="C113" s="44">
        <f>SUM(C109:C112)</f>
        <v>419.10566666666671</v>
      </c>
    </row>
    <row r="116" spans="1:4" x14ac:dyDescent="0.25">
      <c r="A116" s="192" t="s">
        <v>101</v>
      </c>
      <c r="B116" s="192"/>
      <c r="C116" s="192"/>
    </row>
    <row r="117" spans="1:4" ht="16.5" thickBot="1" x14ac:dyDescent="0.3"/>
    <row r="118" spans="1:4" ht="16.5" thickBot="1" x14ac:dyDescent="0.3">
      <c r="A118" s="28">
        <v>6</v>
      </c>
      <c r="B118" s="35" t="s">
        <v>25</v>
      </c>
      <c r="C118" s="29" t="s">
        <v>63</v>
      </c>
      <c r="D118" s="29" t="s">
        <v>41</v>
      </c>
    </row>
    <row r="119" spans="1:4" ht="16.5" thickBot="1" x14ac:dyDescent="0.3">
      <c r="A119" s="30" t="s">
        <v>42</v>
      </c>
      <c r="B119" s="68" t="s">
        <v>26</v>
      </c>
      <c r="C119" s="188">
        <v>9.0999999999999998E-2</v>
      </c>
      <c r="D119" s="70">
        <f>C119*C138</f>
        <v>815.2977958765639</v>
      </c>
    </row>
    <row r="120" spans="1:4" ht="16.5" thickBot="1" x14ac:dyDescent="0.3">
      <c r="A120" s="30" t="s">
        <v>44</v>
      </c>
      <c r="B120" s="68" t="s">
        <v>28</v>
      </c>
      <c r="C120" s="188">
        <v>5.8999999999999997E-2</v>
      </c>
      <c r="D120" s="70">
        <f>C120*(C138+D119)</f>
        <v>576.70223981075321</v>
      </c>
    </row>
    <row r="121" spans="1:4" ht="16.5" thickBot="1" x14ac:dyDescent="0.3">
      <c r="A121" s="30" t="s">
        <v>46</v>
      </c>
      <c r="B121" s="31" t="s">
        <v>27</v>
      </c>
      <c r="C121" s="33"/>
      <c r="D121" s="44">
        <f>(C$17+C$61+D$73+C$103+C$113)*C121</f>
        <v>0</v>
      </c>
    </row>
    <row r="122" spans="1:4" ht="16.5" thickBot="1" x14ac:dyDescent="0.3">
      <c r="A122" s="30"/>
      <c r="B122" s="68" t="s">
        <v>114</v>
      </c>
      <c r="C122" s="69">
        <f>C123+C124</f>
        <v>9.2499999999999999E-2</v>
      </c>
      <c r="D122" s="70">
        <f>C122*(C$138+D$119+D$120)</f>
        <v>957.49677383494679</v>
      </c>
    </row>
    <row r="123" spans="1:4" ht="16.5" thickBot="1" x14ac:dyDescent="0.3">
      <c r="A123" s="30"/>
      <c r="B123" s="31" t="s">
        <v>112</v>
      </c>
      <c r="C123" s="33">
        <v>7.5999999999999998E-2</v>
      </c>
      <c r="D123" s="44">
        <f>C123*(C$138+D$119+D$120)</f>
        <v>786.70005201574008</v>
      </c>
    </row>
    <row r="124" spans="1:4" ht="16.5" thickBot="1" x14ac:dyDescent="0.3">
      <c r="A124" s="30"/>
      <c r="B124" s="31" t="s">
        <v>113</v>
      </c>
      <c r="C124" s="33">
        <v>1.6500000000000001E-2</v>
      </c>
      <c r="D124" s="44">
        <f>C124*(C$138+D$119+D$120)</f>
        <v>170.79672181920674</v>
      </c>
    </row>
    <row r="125" spans="1:4" ht="16.5" thickBot="1" x14ac:dyDescent="0.3">
      <c r="A125" s="30"/>
      <c r="B125" s="68" t="s">
        <v>115</v>
      </c>
      <c r="C125" s="69">
        <v>0</v>
      </c>
      <c r="D125" s="70">
        <f>C125*(C$138+D$119+D$120)</f>
        <v>0</v>
      </c>
    </row>
    <row r="126" spans="1:4" ht="16.5" thickBot="1" x14ac:dyDescent="0.3">
      <c r="A126" s="30"/>
      <c r="B126" s="68" t="s">
        <v>116</v>
      </c>
      <c r="C126" s="69">
        <v>0.05</v>
      </c>
      <c r="D126" s="70">
        <f>C126*(C$138+D$119+D$120)</f>
        <v>517.56582369456589</v>
      </c>
    </row>
    <row r="127" spans="1:4" ht="16.5" thickBot="1" x14ac:dyDescent="0.3">
      <c r="A127" s="194" t="s">
        <v>70</v>
      </c>
      <c r="B127" s="195"/>
      <c r="C127" s="69">
        <f>C119+C120+C122+C125+C126</f>
        <v>0.29249999999999998</v>
      </c>
      <c r="D127" s="70">
        <f>D119+D120+D122+D125+D126</f>
        <v>2867.0626332168299</v>
      </c>
    </row>
    <row r="130" spans="1:3" x14ac:dyDescent="0.25">
      <c r="A130" s="192" t="s">
        <v>102</v>
      </c>
      <c r="B130" s="192"/>
      <c r="C130" s="192"/>
    </row>
    <row r="131" spans="1:3" ht="16.5" thickBot="1" x14ac:dyDescent="0.3"/>
    <row r="132" spans="1:3" ht="16.5" thickBot="1" x14ac:dyDescent="0.3">
      <c r="A132" s="28"/>
      <c r="B132" s="29" t="s">
        <v>103</v>
      </c>
      <c r="C132" s="29" t="s">
        <v>41</v>
      </c>
    </row>
    <row r="133" spans="1:3" ht="16.5" thickBot="1" x14ac:dyDescent="0.3">
      <c r="A133" s="37" t="s">
        <v>42</v>
      </c>
      <c r="B133" s="31" t="s">
        <v>39</v>
      </c>
      <c r="C133" s="67">
        <f>C17</f>
        <v>1912.33</v>
      </c>
    </row>
    <row r="134" spans="1:3" ht="16.5" thickBot="1" x14ac:dyDescent="0.3">
      <c r="A134" s="37" t="s">
        <v>44</v>
      </c>
      <c r="B134" s="31" t="s">
        <v>54</v>
      </c>
      <c r="C134" s="67">
        <f>C61</f>
        <v>6296.4051386573337</v>
      </c>
    </row>
    <row r="135" spans="1:3" ht="16.5" thickBot="1" x14ac:dyDescent="0.3">
      <c r="A135" s="37" t="s">
        <v>46</v>
      </c>
      <c r="B135" s="31" t="s">
        <v>77</v>
      </c>
      <c r="C135" s="67">
        <f>D73</f>
        <v>143.87605987999999</v>
      </c>
    </row>
    <row r="136" spans="1:3" ht="16.5" thickBot="1" x14ac:dyDescent="0.3">
      <c r="A136" s="37" t="s">
        <v>48</v>
      </c>
      <c r="B136" s="31" t="s">
        <v>85</v>
      </c>
      <c r="C136" s="67">
        <f>D88</f>
        <v>187.59957299999999</v>
      </c>
    </row>
    <row r="137" spans="1:3" ht="16.5" thickBot="1" x14ac:dyDescent="0.3">
      <c r="A137" s="37" t="s">
        <v>49</v>
      </c>
      <c r="B137" s="31" t="s">
        <v>97</v>
      </c>
      <c r="C137" s="67">
        <f>C113</f>
        <v>419.10566666666671</v>
      </c>
    </row>
    <row r="138" spans="1:3" ht="16.5" customHeight="1" thickBot="1" x14ac:dyDescent="0.3">
      <c r="A138" s="190" t="s">
        <v>104</v>
      </c>
      <c r="B138" s="191"/>
      <c r="C138" s="67">
        <f>SUM(C133:C137)</f>
        <v>8959.3164382039995</v>
      </c>
    </row>
    <row r="139" spans="1:3" ht="16.5" thickBot="1" x14ac:dyDescent="0.3">
      <c r="A139" s="37" t="s">
        <v>51</v>
      </c>
      <c r="B139" s="31" t="s">
        <v>105</v>
      </c>
      <c r="C139" s="67">
        <f>D127</f>
        <v>2867.0626332168299</v>
      </c>
    </row>
    <row r="140" spans="1:3" ht="16.5" customHeight="1" thickBot="1" x14ac:dyDescent="0.3">
      <c r="A140" s="190" t="s">
        <v>106</v>
      </c>
      <c r="B140" s="191"/>
      <c r="C140" s="71">
        <f>C138+C139</f>
        <v>11826.37907142083</v>
      </c>
    </row>
  </sheetData>
  <mergeCells count="34">
    <mergeCell ref="A44:C44"/>
    <mergeCell ref="A41:B41"/>
    <mergeCell ref="A73:B73"/>
    <mergeCell ref="A64:C64"/>
    <mergeCell ref="A61:B61"/>
    <mergeCell ref="A55:C55"/>
    <mergeCell ref="A52:B52"/>
    <mergeCell ref="A1:D1"/>
    <mergeCell ref="A2:D2"/>
    <mergeCell ref="A17:B17"/>
    <mergeCell ref="A7:C7"/>
    <mergeCell ref="A20:C20"/>
    <mergeCell ref="A3:D3"/>
    <mergeCell ref="A30:D30"/>
    <mergeCell ref="A22:C22"/>
    <mergeCell ref="B4:C4"/>
    <mergeCell ref="B5:C5"/>
    <mergeCell ref="B6:C6"/>
    <mergeCell ref="A27:B27"/>
    <mergeCell ref="A18:C19"/>
    <mergeCell ref="A140:B140"/>
    <mergeCell ref="A130:C130"/>
    <mergeCell ref="A76:C76"/>
    <mergeCell ref="A88:B88"/>
    <mergeCell ref="A79:C79"/>
    <mergeCell ref="A95:B95"/>
    <mergeCell ref="A91:C91"/>
    <mergeCell ref="A103:B103"/>
    <mergeCell ref="A98:C98"/>
    <mergeCell ref="A138:B138"/>
    <mergeCell ref="A127:B127"/>
    <mergeCell ref="A116:C116"/>
    <mergeCell ref="A113:B113"/>
    <mergeCell ref="A106:C10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C1" workbookViewId="0">
      <selection activeCell="I4" sqref="I4"/>
    </sheetView>
  </sheetViews>
  <sheetFormatPr defaultRowHeight="15" x14ac:dyDescent="0.25"/>
  <cols>
    <col min="1" max="1" width="15" customWidth="1"/>
    <col min="2" max="2" width="10" customWidth="1"/>
    <col min="3" max="3" width="17.5703125" customWidth="1"/>
    <col min="4" max="4" width="17.42578125" customWidth="1"/>
    <col min="5" max="5" width="19.85546875" customWidth="1"/>
    <col min="6" max="6" width="17" customWidth="1"/>
    <col min="7" max="7" width="18.28515625" customWidth="1"/>
    <col min="8" max="8" width="19.28515625" customWidth="1"/>
    <col min="9" max="9" width="20.5703125" customWidth="1"/>
    <col min="10" max="10" width="19" customWidth="1"/>
  </cols>
  <sheetData>
    <row r="1" spans="1:10" x14ac:dyDescent="0.25">
      <c r="A1" s="218" t="s">
        <v>241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66.75" customHeight="1" x14ac:dyDescent="0.25">
      <c r="A2" s="104" t="s">
        <v>189</v>
      </c>
      <c r="B2" s="105" t="s">
        <v>190</v>
      </c>
      <c r="C2" s="106" t="s">
        <v>191</v>
      </c>
      <c r="D2" s="106" t="s">
        <v>192</v>
      </c>
      <c r="E2" s="107" t="s">
        <v>213</v>
      </c>
      <c r="F2" s="107" t="s">
        <v>214</v>
      </c>
      <c r="G2" s="107" t="s">
        <v>193</v>
      </c>
      <c r="H2" s="107" t="s">
        <v>194</v>
      </c>
      <c r="I2" s="108" t="s">
        <v>195</v>
      </c>
      <c r="J2" s="108" t="s">
        <v>196</v>
      </c>
    </row>
    <row r="3" spans="1:10" ht="46.5" customHeight="1" x14ac:dyDescent="0.25">
      <c r="A3" s="109">
        <v>1</v>
      </c>
      <c r="B3" s="109">
        <v>6</v>
      </c>
      <c r="C3" s="110">
        <f>'Veic.Tipo 1'!C18</f>
        <v>6030.0956763848399</v>
      </c>
      <c r="D3" s="110">
        <f>C3*B3</f>
        <v>36180.574058309037</v>
      </c>
      <c r="E3" s="111">
        <v>2023.2</v>
      </c>
      <c r="F3" s="111">
        <f>'Veic.Tipo 1'!C37</f>
        <v>1.405736654092022</v>
      </c>
      <c r="G3" s="165">
        <f>F3*E3</f>
        <v>2844.086398558979</v>
      </c>
      <c r="H3" s="166">
        <f>G3*B3</f>
        <v>17064.518391353875</v>
      </c>
      <c r="I3" s="167">
        <f>H3+D3</f>
        <v>53245.092449662916</v>
      </c>
      <c r="J3" s="167">
        <f>I3*12</f>
        <v>638941.10939595499</v>
      </c>
    </row>
    <row r="4" spans="1:10" ht="48" customHeight="1" x14ac:dyDescent="0.25">
      <c r="A4" s="109">
        <v>2</v>
      </c>
      <c r="B4" s="109">
        <v>6</v>
      </c>
      <c r="C4" s="113">
        <f>'Veic.Tipo 2'!C18</f>
        <v>6452.9128906705537</v>
      </c>
      <c r="D4" s="110">
        <f>C4*B4</f>
        <v>38717.477344023326</v>
      </c>
      <c r="E4" s="111">
        <v>2023.2</v>
      </c>
      <c r="F4" s="112">
        <f>'Veic.Tipo 2'!C37</f>
        <v>1.3448659080522063</v>
      </c>
      <c r="G4" s="166">
        <f>F4*E4</f>
        <v>2720.9327051712239</v>
      </c>
      <c r="H4" s="166">
        <f>G4*B4</f>
        <v>16325.596231027343</v>
      </c>
      <c r="I4" s="167">
        <f>H4+D4</f>
        <v>55043.073575050672</v>
      </c>
      <c r="J4" s="167">
        <f>I4*12</f>
        <v>660516.88290060801</v>
      </c>
    </row>
    <row r="5" spans="1:10" ht="28.5" customHeight="1" x14ac:dyDescent="0.25">
      <c r="A5" s="114" t="s">
        <v>197</v>
      </c>
      <c r="B5" s="114">
        <v>12</v>
      </c>
      <c r="C5" s="115">
        <f>SUM(C3:C4)</f>
        <v>12483.008567055393</v>
      </c>
      <c r="D5" s="115">
        <f t="shared" ref="D5:I5" si="0">SUM(D3:D4)</f>
        <v>74898.051402332363</v>
      </c>
      <c r="E5" s="115"/>
      <c r="F5" s="115"/>
      <c r="G5" s="168"/>
      <c r="H5" s="168">
        <f t="shared" si="0"/>
        <v>33390.114622381217</v>
      </c>
      <c r="I5" s="168">
        <f t="shared" si="0"/>
        <v>108288.16602471359</v>
      </c>
      <c r="J5" s="168">
        <f>SUM(J3:J4)</f>
        <v>1299457.992296563</v>
      </c>
    </row>
    <row r="6" spans="1:10" x14ac:dyDescent="0.25">
      <c r="A6" s="103"/>
      <c r="B6" s="103"/>
      <c r="C6" s="103"/>
      <c r="D6" s="103"/>
      <c r="E6" s="103"/>
      <c r="F6" s="103"/>
      <c r="G6" s="103"/>
      <c r="H6" s="103"/>
      <c r="I6" s="103"/>
    </row>
    <row r="7" spans="1:10" x14ac:dyDescent="0.25">
      <c r="A7" s="103"/>
      <c r="B7" s="103"/>
      <c r="C7" s="103"/>
      <c r="D7" s="103"/>
      <c r="E7" s="103"/>
      <c r="F7" s="103"/>
      <c r="G7" s="103"/>
      <c r="H7" s="103"/>
      <c r="I7" s="103"/>
    </row>
    <row r="8" spans="1:10" x14ac:dyDescent="0.25">
      <c r="A8" s="103"/>
      <c r="B8" s="103"/>
      <c r="C8" s="103"/>
      <c r="D8" s="103"/>
      <c r="E8" s="103"/>
      <c r="F8" s="103"/>
      <c r="G8" s="103"/>
      <c r="H8" s="103"/>
      <c r="I8" s="103"/>
    </row>
    <row r="9" spans="1:10" x14ac:dyDescent="0.25">
      <c r="A9" s="103"/>
      <c r="B9" s="103"/>
      <c r="C9" s="103"/>
      <c r="D9" s="103"/>
      <c r="E9" s="103"/>
      <c r="F9" s="103"/>
      <c r="G9" s="103"/>
      <c r="H9" s="103"/>
      <c r="I9" s="103"/>
    </row>
    <row r="10" spans="1:10" x14ac:dyDescent="0.25">
      <c r="A10" s="103"/>
      <c r="B10" s="103"/>
      <c r="C10" s="103"/>
      <c r="D10" s="103"/>
      <c r="E10" s="103"/>
      <c r="F10" s="103"/>
      <c r="G10" s="103"/>
      <c r="H10" s="103"/>
      <c r="I10" s="103"/>
    </row>
    <row r="11" spans="1:10" x14ac:dyDescent="0.25">
      <c r="A11" s="103"/>
      <c r="B11" s="103"/>
      <c r="C11" s="103"/>
      <c r="D11" s="103"/>
      <c r="E11" s="103"/>
      <c r="F11" s="103"/>
      <c r="G11" s="103"/>
      <c r="H11" s="103"/>
      <c r="I11" s="103"/>
    </row>
    <row r="12" spans="1:10" x14ac:dyDescent="0.25">
      <c r="A12" s="103"/>
      <c r="B12" s="103"/>
      <c r="C12" s="103"/>
      <c r="D12" s="103"/>
      <c r="E12" s="103"/>
      <c r="F12" s="103"/>
      <c r="G12" s="103"/>
      <c r="H12" s="103"/>
      <c r="I12" s="103"/>
    </row>
    <row r="13" spans="1:10" x14ac:dyDescent="0.25">
      <c r="A13" s="103"/>
      <c r="B13" s="103"/>
      <c r="C13" s="103"/>
      <c r="D13" s="103"/>
      <c r="E13" s="103"/>
      <c r="F13" s="103"/>
      <c r="G13" s="103"/>
      <c r="H13" s="103"/>
      <c r="I13" s="103"/>
    </row>
    <row r="14" spans="1:10" x14ac:dyDescent="0.25">
      <c r="A14" s="103"/>
      <c r="B14" s="103"/>
      <c r="C14" s="103"/>
      <c r="D14" s="103"/>
      <c r="E14" s="103"/>
      <c r="F14" s="103"/>
      <c r="G14" s="103"/>
      <c r="H14" s="103"/>
      <c r="I14" s="103"/>
    </row>
    <row r="15" spans="1:10" x14ac:dyDescent="0.25">
      <c r="A15" s="103"/>
      <c r="B15" s="103"/>
      <c r="C15" s="103"/>
      <c r="D15" s="103"/>
      <c r="E15" s="103"/>
      <c r="F15" s="103"/>
      <c r="G15" s="103"/>
      <c r="H15" s="103"/>
      <c r="I15" s="103"/>
    </row>
    <row r="16" spans="1:10" x14ac:dyDescent="0.25">
      <c r="A16" s="103"/>
      <c r="B16" s="103"/>
      <c r="C16" s="103"/>
      <c r="D16" s="103"/>
      <c r="E16" s="103"/>
      <c r="F16" s="103"/>
      <c r="G16" s="103"/>
      <c r="H16" s="103"/>
      <c r="I16" s="103"/>
    </row>
    <row r="17" spans="1:9" x14ac:dyDescent="0.25">
      <c r="A17" s="103"/>
      <c r="B17" s="103"/>
      <c r="C17" s="103"/>
      <c r="D17" s="103"/>
      <c r="E17" s="103"/>
      <c r="F17" s="103"/>
      <c r="G17" s="103"/>
      <c r="H17" s="103"/>
      <c r="I17" s="103"/>
    </row>
    <row r="18" spans="1:9" x14ac:dyDescent="0.25">
      <c r="A18" s="103"/>
      <c r="B18" s="103"/>
      <c r="C18" s="103"/>
      <c r="D18" s="103"/>
      <c r="E18" s="103"/>
      <c r="F18" s="103"/>
      <c r="G18" s="103"/>
      <c r="H18" s="103"/>
      <c r="I18" s="103"/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1" workbookViewId="0">
      <selection activeCell="G33" sqref="G33"/>
    </sheetView>
  </sheetViews>
  <sheetFormatPr defaultRowHeight="15" x14ac:dyDescent="0.25"/>
  <cols>
    <col min="1" max="1" width="62.5703125" customWidth="1"/>
    <col min="2" max="2" width="16.140625" customWidth="1"/>
    <col min="3" max="3" width="17.7109375" customWidth="1"/>
  </cols>
  <sheetData>
    <row r="1" spans="1:3" ht="18.75" x14ac:dyDescent="0.25">
      <c r="A1" s="217" t="s">
        <v>239</v>
      </c>
      <c r="B1" s="217"/>
      <c r="C1" s="217"/>
    </row>
    <row r="2" spans="1:3" ht="31.5" x14ac:dyDescent="0.25">
      <c r="A2" s="87" t="s">
        <v>151</v>
      </c>
      <c r="B2" s="88" t="s">
        <v>152</v>
      </c>
      <c r="C2" s="89" t="s">
        <v>153</v>
      </c>
    </row>
    <row r="3" spans="1:3" ht="15.75" x14ac:dyDescent="0.25">
      <c r="A3" s="215" t="s">
        <v>321</v>
      </c>
      <c r="B3" s="215"/>
      <c r="C3" s="215"/>
    </row>
    <row r="4" spans="1:3" ht="15.75" x14ac:dyDescent="0.25">
      <c r="A4" s="211" t="s">
        <v>155</v>
      </c>
      <c r="B4" s="211"/>
      <c r="C4" s="90" t="s">
        <v>153</v>
      </c>
    </row>
    <row r="5" spans="1:3" ht="15.75" x14ac:dyDescent="0.25">
      <c r="A5" s="212" t="s">
        <v>322</v>
      </c>
      <c r="B5" s="212"/>
      <c r="C5" s="91">
        <v>3948.23</v>
      </c>
    </row>
    <row r="6" spans="1:3" ht="15.75" x14ac:dyDescent="0.25">
      <c r="A6" s="213" t="s">
        <v>323</v>
      </c>
      <c r="B6" s="213"/>
      <c r="C6" s="92">
        <v>3667.99</v>
      </c>
    </row>
    <row r="7" spans="1:3" ht="15.75" x14ac:dyDescent="0.25">
      <c r="A7" s="209" t="s">
        <v>221</v>
      </c>
      <c r="B7" s="209"/>
      <c r="C7" s="93">
        <f>SUM(C5:C6)</f>
        <v>7616.2199999999993</v>
      </c>
    </row>
    <row r="8" spans="1:3" ht="15.75" x14ac:dyDescent="0.25">
      <c r="A8" s="215" t="s">
        <v>240</v>
      </c>
      <c r="B8" s="215"/>
      <c r="C8" s="215"/>
    </row>
    <row r="9" spans="1:3" ht="15.75" x14ac:dyDescent="0.25">
      <c r="A9" s="211" t="s">
        <v>168</v>
      </c>
      <c r="B9" s="211"/>
      <c r="C9" s="90" t="s">
        <v>153</v>
      </c>
    </row>
    <row r="10" spans="1:3" ht="15.75" x14ac:dyDescent="0.25">
      <c r="A10" s="212" t="s">
        <v>169</v>
      </c>
      <c r="B10" s="212"/>
      <c r="C10" s="91">
        <v>450</v>
      </c>
    </row>
    <row r="11" spans="1:3" ht="15.75" x14ac:dyDescent="0.25">
      <c r="A11" s="212" t="s">
        <v>210</v>
      </c>
      <c r="B11" s="212"/>
      <c r="C11" s="91">
        <v>248.48</v>
      </c>
    </row>
    <row r="12" spans="1:3" ht="15.75" x14ac:dyDescent="0.25">
      <c r="A12" s="212" t="s">
        <v>171</v>
      </c>
      <c r="B12" s="212"/>
      <c r="C12" s="91">
        <v>0</v>
      </c>
    </row>
    <row r="13" spans="1:3" ht="15.75" x14ac:dyDescent="0.25">
      <c r="A13" s="213" t="s">
        <v>172</v>
      </c>
      <c r="B13" s="213"/>
      <c r="C13" s="92">
        <v>24.13</v>
      </c>
    </row>
    <row r="14" spans="1:3" ht="15.75" x14ac:dyDescent="0.25">
      <c r="A14" s="213" t="s">
        <v>211</v>
      </c>
      <c r="B14" s="213"/>
      <c r="C14" s="92">
        <v>319.07</v>
      </c>
    </row>
    <row r="15" spans="1:3" ht="15.75" x14ac:dyDescent="0.25">
      <c r="A15" s="213" t="s">
        <v>212</v>
      </c>
      <c r="B15" s="213"/>
      <c r="C15" s="92">
        <v>0</v>
      </c>
    </row>
    <row r="16" spans="1:3" ht="15.75" x14ac:dyDescent="0.25">
      <c r="A16" s="209" t="s">
        <v>221</v>
      </c>
      <c r="B16" s="209"/>
      <c r="C16" s="93">
        <f>SUM(C10:C15)</f>
        <v>1041.68</v>
      </c>
    </row>
    <row r="17" spans="1:3" ht="15.75" x14ac:dyDescent="0.25">
      <c r="A17" s="219" t="s">
        <v>327</v>
      </c>
      <c r="B17" s="220"/>
      <c r="C17" s="146">
        <f>C16+C7</f>
        <v>8657.9</v>
      </c>
    </row>
    <row r="18" spans="1:3" ht="15.75" x14ac:dyDescent="0.25">
      <c r="A18" s="219" t="s">
        <v>328</v>
      </c>
      <c r="B18" s="220"/>
      <c r="C18" s="146">
        <f>C17/22</f>
        <v>393.54090909090905</v>
      </c>
    </row>
    <row r="19" spans="1:3" ht="16.5" thickBot="1" x14ac:dyDescent="0.3">
      <c r="A19" s="135" t="s">
        <v>176</v>
      </c>
      <c r="B19" s="188">
        <v>9.0999999999999998E-2</v>
      </c>
      <c r="C19" s="95">
        <f>B19*C18</f>
        <v>35.812222727272726</v>
      </c>
    </row>
    <row r="20" spans="1:3" ht="16.5" thickBot="1" x14ac:dyDescent="0.3">
      <c r="A20" s="135" t="s">
        <v>177</v>
      </c>
      <c r="B20" s="188">
        <v>5.8999999999999997E-2</v>
      </c>
      <c r="C20" s="95">
        <f>B20*C18</f>
        <v>23.218913636363634</v>
      </c>
    </row>
    <row r="21" spans="1:3" ht="15.75" x14ac:dyDescent="0.25">
      <c r="A21" s="136" t="s">
        <v>178</v>
      </c>
      <c r="B21" s="97">
        <f>SUM(B22:B25)</f>
        <v>0.14250000000000002</v>
      </c>
      <c r="C21" s="98">
        <f>((C$17+C$19+C$20)/(1-($B$21)))*$B21</f>
        <v>1448.5862238271934</v>
      </c>
    </row>
    <row r="22" spans="1:3" ht="15.75" x14ac:dyDescent="0.25">
      <c r="A22" s="99" t="s">
        <v>179</v>
      </c>
      <c r="B22" s="97">
        <v>9.2499999999999999E-2</v>
      </c>
      <c r="C22" s="98">
        <f t="shared" ref="C22:C25" si="0">((C$17+C$19+C$20)/(1-($B$21)))*$B22</f>
        <v>940.31035581765173</v>
      </c>
    </row>
    <row r="23" spans="1:3" ht="15.75" x14ac:dyDescent="0.25">
      <c r="A23" s="99" t="s">
        <v>180</v>
      </c>
      <c r="B23" s="97">
        <v>0</v>
      </c>
      <c r="C23" s="98">
        <f t="shared" si="0"/>
        <v>0</v>
      </c>
    </row>
    <row r="24" spans="1:3" ht="15.75" x14ac:dyDescent="0.25">
      <c r="A24" s="99" t="s">
        <v>181</v>
      </c>
      <c r="B24" s="97">
        <v>0.05</v>
      </c>
      <c r="C24" s="98">
        <f t="shared" si="0"/>
        <v>508.27586800954151</v>
      </c>
    </row>
    <row r="25" spans="1:3" ht="15.75" x14ac:dyDescent="0.25">
      <c r="A25" s="99" t="s">
        <v>182</v>
      </c>
      <c r="B25" s="97">
        <v>0</v>
      </c>
      <c r="C25" s="98">
        <f t="shared" si="0"/>
        <v>0</v>
      </c>
    </row>
    <row r="26" spans="1:3" ht="15.75" x14ac:dyDescent="0.25">
      <c r="A26" s="210" t="s">
        <v>329</v>
      </c>
      <c r="B26" s="210"/>
      <c r="C26" s="102">
        <f>C18+C19+C20</f>
        <v>452.57204545454545</v>
      </c>
    </row>
    <row r="27" spans="1:3" ht="15.75" x14ac:dyDescent="0.25">
      <c r="A27" s="215" t="s">
        <v>330</v>
      </c>
      <c r="B27" s="215"/>
      <c r="C27" s="215"/>
    </row>
    <row r="28" spans="1:3" ht="15.75" x14ac:dyDescent="0.25">
      <c r="A28" s="211" t="s">
        <v>331</v>
      </c>
      <c r="B28" s="211"/>
      <c r="C28" s="90" t="s">
        <v>153</v>
      </c>
    </row>
    <row r="29" spans="1:3" ht="15.75" x14ac:dyDescent="0.25">
      <c r="A29" s="212" t="s">
        <v>332</v>
      </c>
      <c r="B29" s="212"/>
      <c r="C29" s="91">
        <v>150</v>
      </c>
    </row>
    <row r="30" spans="1:3" ht="15.75" x14ac:dyDescent="0.25">
      <c r="A30" s="209" t="s">
        <v>221</v>
      </c>
      <c r="B30" s="209"/>
      <c r="C30" s="93">
        <f>SUM(C29:C29)</f>
        <v>150</v>
      </c>
    </row>
    <row r="31" spans="1:3" ht="16.5" thickBot="1" x14ac:dyDescent="0.3">
      <c r="A31" s="135" t="s">
        <v>176</v>
      </c>
      <c r="B31" s="188">
        <v>9.0999999999999998E-2</v>
      </c>
      <c r="C31" s="95">
        <f>B31*C30</f>
        <v>13.65</v>
      </c>
    </row>
    <row r="32" spans="1:3" ht="16.5" thickBot="1" x14ac:dyDescent="0.3">
      <c r="A32" s="135" t="s">
        <v>177</v>
      </c>
      <c r="B32" s="188">
        <v>5.8999999999999997E-2</v>
      </c>
      <c r="C32" s="95">
        <f>B32*C30</f>
        <v>8.85</v>
      </c>
    </row>
    <row r="33" spans="1:3" ht="15.75" x14ac:dyDescent="0.25">
      <c r="A33" s="136" t="s">
        <v>178</v>
      </c>
      <c r="B33" s="97">
        <f>SUM(B34:B37)</f>
        <v>0.14250000000000002</v>
      </c>
      <c r="C33" s="98">
        <f>((C$30+C$31+C$32)/(1-($B$33)))*$B33</f>
        <v>28.666180758017497</v>
      </c>
    </row>
    <row r="34" spans="1:3" ht="15.75" x14ac:dyDescent="0.25">
      <c r="A34" s="99" t="s">
        <v>179</v>
      </c>
      <c r="B34" s="97">
        <v>9.2499999999999999E-2</v>
      </c>
      <c r="C34" s="98">
        <f t="shared" ref="C34:C37" si="1">((C$30+C$31+C$32)/(1-($B$33)))*$B34</f>
        <v>18.60787172011662</v>
      </c>
    </row>
    <row r="35" spans="1:3" ht="15.75" x14ac:dyDescent="0.25">
      <c r="A35" s="99" t="s">
        <v>180</v>
      </c>
      <c r="B35" s="97">
        <v>0</v>
      </c>
      <c r="C35" s="98">
        <f t="shared" si="1"/>
        <v>0</v>
      </c>
    </row>
    <row r="36" spans="1:3" ht="15.75" x14ac:dyDescent="0.25">
      <c r="A36" s="99" t="s">
        <v>181</v>
      </c>
      <c r="B36" s="97">
        <v>0.05</v>
      </c>
      <c r="C36" s="98">
        <f t="shared" si="1"/>
        <v>10.058309037900877</v>
      </c>
    </row>
    <row r="37" spans="1:3" ht="15.75" x14ac:dyDescent="0.25">
      <c r="A37" s="99" t="s">
        <v>182</v>
      </c>
      <c r="B37" s="97">
        <v>0</v>
      </c>
      <c r="C37" s="98">
        <f t="shared" si="1"/>
        <v>0</v>
      </c>
    </row>
    <row r="38" spans="1:3" x14ac:dyDescent="0.25">
      <c r="A38" s="222" t="s">
        <v>333</v>
      </c>
      <c r="B38" s="222"/>
      <c r="C38" s="147">
        <f>C33+C32+C31+C30</f>
        <v>201.1661807580175</v>
      </c>
    </row>
    <row r="39" spans="1:3" x14ac:dyDescent="0.25">
      <c r="A39" s="148"/>
      <c r="B39" s="148"/>
      <c r="C39" s="149"/>
    </row>
    <row r="40" spans="1:3" x14ac:dyDescent="0.25">
      <c r="A40" s="221" t="s">
        <v>334</v>
      </c>
      <c r="B40" s="221"/>
      <c r="C40" s="221"/>
    </row>
    <row r="41" spans="1:3" ht="15.75" x14ac:dyDescent="0.25">
      <c r="A41" s="142" t="s">
        <v>324</v>
      </c>
      <c r="B41" s="142">
        <v>3</v>
      </c>
      <c r="C41" s="143">
        <f>B41*C26</f>
        <v>1357.7161363636365</v>
      </c>
    </row>
    <row r="42" spans="1:3" ht="15.75" x14ac:dyDescent="0.25">
      <c r="A42" s="142" t="s">
        <v>325</v>
      </c>
      <c r="B42" s="143">
        <v>2</v>
      </c>
      <c r="C42" s="144">
        <f>B42*C38</f>
        <v>402.33236151603501</v>
      </c>
    </row>
    <row r="43" spans="1:3" ht="15.75" x14ac:dyDescent="0.25">
      <c r="A43" s="136" t="s">
        <v>326</v>
      </c>
      <c r="B43" s="136"/>
      <c r="C43" s="145">
        <f>C42+C41</f>
        <v>1760.0484978796715</v>
      </c>
    </row>
    <row r="45" spans="1:3" ht="15.75" x14ac:dyDescent="0.25">
      <c r="A45" s="206"/>
      <c r="B45" s="206"/>
      <c r="C45" s="206"/>
    </row>
    <row r="46" spans="1:3" x14ac:dyDescent="0.25">
      <c r="A46" s="207" t="s">
        <v>185</v>
      </c>
      <c r="B46" s="207"/>
      <c r="C46" s="207"/>
    </row>
    <row r="47" spans="1:3" x14ac:dyDescent="0.25">
      <c r="A47" s="207"/>
      <c r="B47" s="207"/>
      <c r="C47" s="207"/>
    </row>
    <row r="48" spans="1:3" x14ac:dyDescent="0.25">
      <c r="A48" s="207"/>
      <c r="B48" s="207"/>
      <c r="C48" s="207"/>
    </row>
    <row r="49" spans="1:3" ht="15.75" x14ac:dyDescent="0.25">
      <c r="A49" s="208" t="s">
        <v>186</v>
      </c>
      <c r="B49" s="208"/>
      <c r="C49" s="208"/>
    </row>
    <row r="50" spans="1:3" ht="15.75" x14ac:dyDescent="0.25">
      <c r="A50" s="208" t="s">
        <v>186</v>
      </c>
      <c r="B50" s="208"/>
      <c r="C50" s="208"/>
    </row>
    <row r="51" spans="1:3" ht="15.75" x14ac:dyDescent="0.25">
      <c r="A51" s="206"/>
      <c r="B51" s="206"/>
      <c r="C51" s="206"/>
    </row>
  </sheetData>
  <mergeCells count="29">
    <mergeCell ref="A11:B11"/>
    <mergeCell ref="A12:B12"/>
    <mergeCell ref="A13:B13"/>
    <mergeCell ref="A14:B14"/>
    <mergeCell ref="A40:C40"/>
    <mergeCell ref="A29:B29"/>
    <mergeCell ref="A38:B38"/>
    <mergeCell ref="A1:C1"/>
    <mergeCell ref="A3:C3"/>
    <mergeCell ref="A5:B5"/>
    <mergeCell ref="A6:B6"/>
    <mergeCell ref="A10:B10"/>
    <mergeCell ref="A4:B4"/>
    <mergeCell ref="A9:B9"/>
    <mergeCell ref="A7:B7"/>
    <mergeCell ref="A8:C8"/>
    <mergeCell ref="A51:C51"/>
    <mergeCell ref="A15:B15"/>
    <mergeCell ref="A16:B16"/>
    <mergeCell ref="A26:B26"/>
    <mergeCell ref="A27:C27"/>
    <mergeCell ref="A28:B28"/>
    <mergeCell ref="A17:B17"/>
    <mergeCell ref="A18:B18"/>
    <mergeCell ref="A30:B30"/>
    <mergeCell ref="A45:C45"/>
    <mergeCell ref="A46:C48"/>
    <mergeCell ref="A49:C49"/>
    <mergeCell ref="A50:C50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opLeftCell="A26" workbookViewId="0">
      <selection activeCell="A36" sqref="A36"/>
    </sheetView>
  </sheetViews>
  <sheetFormatPr defaultRowHeight="15" x14ac:dyDescent="0.25"/>
  <cols>
    <col min="1" max="1" width="29.28515625" customWidth="1"/>
    <col min="2" max="2" width="14.140625" customWidth="1"/>
    <col min="3" max="3" width="16.5703125" customWidth="1"/>
    <col min="4" max="4" width="17.85546875" customWidth="1"/>
    <col min="5" max="5" width="12.7109375" customWidth="1"/>
    <col min="6" max="6" width="18.42578125" customWidth="1"/>
  </cols>
  <sheetData>
    <row r="2" spans="1:4" x14ac:dyDescent="0.25">
      <c r="A2" s="225" t="s">
        <v>232</v>
      </c>
      <c r="B2" s="226"/>
      <c r="C2" s="226"/>
      <c r="D2" s="226"/>
    </row>
    <row r="3" spans="1:4" s="103" customFormat="1" ht="30" x14ac:dyDescent="0.25">
      <c r="A3" s="223" t="s">
        <v>224</v>
      </c>
      <c r="B3" s="224"/>
      <c r="C3" s="121" t="s">
        <v>225</v>
      </c>
      <c r="D3" s="121" t="s">
        <v>227</v>
      </c>
    </row>
    <row r="4" spans="1:4" ht="30" customHeight="1" x14ac:dyDescent="0.25">
      <c r="A4" s="231" t="s">
        <v>223</v>
      </c>
      <c r="B4" s="231"/>
      <c r="C4" s="119">
        <f>8.07*50</f>
        <v>403.5</v>
      </c>
      <c r="D4" s="119">
        <f>10.66*25</f>
        <v>266.5</v>
      </c>
    </row>
    <row r="5" spans="1:4" x14ac:dyDescent="0.25">
      <c r="A5" s="231" t="s">
        <v>218</v>
      </c>
      <c r="B5" s="231"/>
      <c r="C5" s="119">
        <f>46.03+(40*0.54)</f>
        <v>67.63</v>
      </c>
      <c r="D5" s="119">
        <f>46.03+(15*0.54)</f>
        <v>54.13</v>
      </c>
    </row>
    <row r="6" spans="1:4" x14ac:dyDescent="0.25">
      <c r="A6" s="231" t="s">
        <v>219</v>
      </c>
      <c r="B6" s="231"/>
      <c r="C6" s="119">
        <f>46.03+(40*0.54)</f>
        <v>67.63</v>
      </c>
      <c r="D6" s="119">
        <f>46.03+(15*0.54)</f>
        <v>54.13</v>
      </c>
    </row>
    <row r="7" spans="1:4" x14ac:dyDescent="0.25">
      <c r="A7" s="231" t="s">
        <v>220</v>
      </c>
      <c r="B7" s="231"/>
      <c r="C7" s="119">
        <f>10000*(0.4%)</f>
        <v>40</v>
      </c>
      <c r="D7" s="119">
        <f>5000*(0.4%)</f>
        <v>20</v>
      </c>
    </row>
    <row r="8" spans="1:4" ht="15.75" x14ac:dyDescent="0.25">
      <c r="A8" s="229" t="s">
        <v>221</v>
      </c>
      <c r="B8" s="229"/>
      <c r="C8" s="118">
        <f>SUM(C4:C7)</f>
        <v>578.76</v>
      </c>
      <c r="D8" s="118">
        <f>SUM(D4:D7)</f>
        <v>394.76</v>
      </c>
    </row>
    <row r="9" spans="1:4" ht="38.25" customHeight="1" thickBot="1" x14ac:dyDescent="0.3">
      <c r="A9" s="94" t="s">
        <v>159</v>
      </c>
      <c r="B9" s="188">
        <v>9.0999999999999998E-2</v>
      </c>
      <c r="C9" s="95">
        <f>B9*C8</f>
        <v>52.667159999999996</v>
      </c>
      <c r="D9" s="95">
        <f>B9*D8</f>
        <v>35.923159999999996</v>
      </c>
    </row>
    <row r="10" spans="1:4" ht="24" customHeight="1" thickBot="1" x14ac:dyDescent="0.3">
      <c r="A10" s="94" t="s">
        <v>160</v>
      </c>
      <c r="B10" s="188">
        <v>5.8999999999999997E-2</v>
      </c>
      <c r="C10" s="95">
        <f>B10*C8</f>
        <v>34.146839999999997</v>
      </c>
      <c r="D10" s="95">
        <f>B10*D8</f>
        <v>23.290839999999999</v>
      </c>
    </row>
    <row r="11" spans="1:4" ht="15.75" x14ac:dyDescent="0.25">
      <c r="A11" s="96" t="s">
        <v>161</v>
      </c>
      <c r="B11" s="97">
        <f>SUM(B12:B15)</f>
        <v>0.14250000000000002</v>
      </c>
      <c r="C11" s="98">
        <f>((C$8+C$9+C$10)/(1-($B$11)))*$B11</f>
        <v>110.60559183673472</v>
      </c>
      <c r="D11" s="98">
        <f>((D$8+D$9+D$10)/(1-($B$11)))*$B11</f>
        <v>75.441743440233253</v>
      </c>
    </row>
    <row r="12" spans="1:4" ht="31.5" x14ac:dyDescent="0.25">
      <c r="A12" s="99" t="s">
        <v>162</v>
      </c>
      <c r="B12" s="97">
        <v>9.2499999999999999E-2</v>
      </c>
      <c r="C12" s="98">
        <f t="shared" ref="C12:D15" si="0">((C$8+C$9+C$10)/(1-($B$11)))*$B12</f>
        <v>71.796612244897958</v>
      </c>
      <c r="D12" s="98">
        <f t="shared" si="0"/>
        <v>48.970956268221578</v>
      </c>
    </row>
    <row r="13" spans="1:4" ht="31.5" x14ac:dyDescent="0.25">
      <c r="A13" s="99" t="s">
        <v>163</v>
      </c>
      <c r="B13" s="97">
        <v>0</v>
      </c>
      <c r="C13" s="98">
        <f t="shared" si="0"/>
        <v>0</v>
      </c>
      <c r="D13" s="98">
        <f t="shared" si="0"/>
        <v>0</v>
      </c>
    </row>
    <row r="14" spans="1:4" ht="31.5" x14ac:dyDescent="0.25">
      <c r="A14" s="99" t="s">
        <v>164</v>
      </c>
      <c r="B14" s="97">
        <v>0.05</v>
      </c>
      <c r="C14" s="98">
        <f t="shared" si="0"/>
        <v>38.808979591836739</v>
      </c>
      <c r="D14" s="98">
        <f t="shared" si="0"/>
        <v>26.470787172011669</v>
      </c>
    </row>
    <row r="15" spans="1:4" ht="31.5" x14ac:dyDescent="0.25">
      <c r="A15" s="99" t="s">
        <v>165</v>
      </c>
      <c r="B15" s="97">
        <v>0</v>
      </c>
      <c r="C15" s="98">
        <f t="shared" si="0"/>
        <v>0</v>
      </c>
      <c r="D15" s="98">
        <f t="shared" si="0"/>
        <v>0</v>
      </c>
    </row>
    <row r="16" spans="1:4" ht="15.75" x14ac:dyDescent="0.25">
      <c r="A16" s="230" t="s">
        <v>226</v>
      </c>
      <c r="B16" s="230"/>
      <c r="C16" s="101">
        <f>C8+C9+C10+C11</f>
        <v>776.17959183673463</v>
      </c>
      <c r="D16" s="101">
        <f>D8+D9+D10+D11</f>
        <v>529.4157434402332</v>
      </c>
    </row>
    <row r="18" spans="1:4" x14ac:dyDescent="0.25">
      <c r="A18" s="227" t="s">
        <v>222</v>
      </c>
      <c r="B18" s="228"/>
      <c r="C18" s="228"/>
      <c r="D18" s="228"/>
    </row>
    <row r="19" spans="1:4" s="103" customFormat="1" ht="30" x14ac:dyDescent="0.25">
      <c r="A19" s="223" t="s">
        <v>224</v>
      </c>
      <c r="B19" s="224"/>
      <c r="C19" s="121" t="s">
        <v>225</v>
      </c>
      <c r="D19" s="121" t="s">
        <v>227</v>
      </c>
    </row>
    <row r="20" spans="1:4" x14ac:dyDescent="0.25">
      <c r="A20" s="231" t="s">
        <v>217</v>
      </c>
      <c r="B20" s="231"/>
      <c r="C20" s="119">
        <f>19.46*50</f>
        <v>973</v>
      </c>
      <c r="D20" s="119">
        <f>25.46*25</f>
        <v>636.5</v>
      </c>
    </row>
    <row r="21" spans="1:4" x14ac:dyDescent="0.25">
      <c r="A21" s="231" t="s">
        <v>218</v>
      </c>
      <c r="B21" s="231"/>
      <c r="C21" s="119">
        <f>46.03+(40*0.54)</f>
        <v>67.63</v>
      </c>
      <c r="D21" s="119">
        <f>46.03+(15*0.54)</f>
        <v>54.13</v>
      </c>
    </row>
    <row r="22" spans="1:4" x14ac:dyDescent="0.25">
      <c r="A22" s="231" t="s">
        <v>219</v>
      </c>
      <c r="B22" s="231"/>
      <c r="C22" s="119">
        <f>46.03+(40*0.54)</f>
        <v>67.63</v>
      </c>
      <c r="D22" s="119">
        <f>46.03+(15*0.54)</f>
        <v>54.13</v>
      </c>
    </row>
    <row r="23" spans="1:4" x14ac:dyDescent="0.25">
      <c r="A23" s="231" t="s">
        <v>220</v>
      </c>
      <c r="B23" s="231"/>
      <c r="C23" s="119">
        <f>10000*(0.4%)</f>
        <v>40</v>
      </c>
      <c r="D23" s="119">
        <f>5000*(0.4%)</f>
        <v>20</v>
      </c>
    </row>
    <row r="24" spans="1:4" ht="15.75" x14ac:dyDescent="0.25">
      <c r="A24" s="229" t="s">
        <v>221</v>
      </c>
      <c r="B24" s="229"/>
      <c r="C24" s="118">
        <f>SUM(C20:C23)</f>
        <v>1148.2600000000002</v>
      </c>
      <c r="D24" s="118">
        <f>SUM(D20:D23)</f>
        <v>764.76</v>
      </c>
    </row>
    <row r="25" spans="1:4" ht="48" thickBot="1" x14ac:dyDescent="0.3">
      <c r="A25" s="94" t="s">
        <v>159</v>
      </c>
      <c r="B25" s="188">
        <v>9.0999999999999998E-2</v>
      </c>
      <c r="C25" s="95">
        <f>B25*C24</f>
        <v>104.49166000000001</v>
      </c>
      <c r="D25" s="95">
        <f>B25*D24</f>
        <v>69.593159999999997</v>
      </c>
    </row>
    <row r="26" spans="1:4" ht="32.25" thickBot="1" x14ac:dyDescent="0.3">
      <c r="A26" s="94" t="s">
        <v>160</v>
      </c>
      <c r="B26" s="188">
        <v>5.8999999999999997E-2</v>
      </c>
      <c r="C26" s="95">
        <f>B26*C24</f>
        <v>67.747340000000008</v>
      </c>
      <c r="D26" s="95">
        <f>B26*D24</f>
        <v>45.120839999999994</v>
      </c>
    </row>
    <row r="27" spans="1:4" ht="15.75" x14ac:dyDescent="0.25">
      <c r="A27" s="96" t="s">
        <v>161</v>
      </c>
      <c r="B27" s="97">
        <f>SUM(B28:B31)</f>
        <v>0.14250000000000002</v>
      </c>
      <c r="C27" s="98">
        <f>((C$24+C$25+C$26)/(1-($B$27)))*$B27</f>
        <v>219.4415247813412</v>
      </c>
      <c r="D27" s="98">
        <f>((D$24+D$25+D$26)/(1-($B$27)))*$B27</f>
        <v>146.15165597667644</v>
      </c>
    </row>
    <row r="28" spans="1:4" ht="31.5" x14ac:dyDescent="0.25">
      <c r="A28" s="99" t="s">
        <v>162</v>
      </c>
      <c r="B28" s="97">
        <v>9.2499999999999999E-2</v>
      </c>
      <c r="C28" s="98">
        <f t="shared" ref="C28:D31" si="1">((C$24+C$25+C$26)/(1-($B$27)))*$B28</f>
        <v>142.44449854227409</v>
      </c>
      <c r="D28" s="98">
        <f t="shared" si="1"/>
        <v>94.870373177842581</v>
      </c>
    </row>
    <row r="29" spans="1:4" ht="31.5" x14ac:dyDescent="0.25">
      <c r="A29" s="99" t="s">
        <v>163</v>
      </c>
      <c r="B29" s="97">
        <v>0</v>
      </c>
      <c r="C29" s="98">
        <f t="shared" si="1"/>
        <v>0</v>
      </c>
      <c r="D29" s="98">
        <f t="shared" si="1"/>
        <v>0</v>
      </c>
    </row>
    <row r="30" spans="1:4" ht="31.5" x14ac:dyDescent="0.25">
      <c r="A30" s="99" t="s">
        <v>164</v>
      </c>
      <c r="B30" s="97">
        <v>0.05</v>
      </c>
      <c r="C30" s="98">
        <f t="shared" si="1"/>
        <v>76.997026239067083</v>
      </c>
      <c r="D30" s="98">
        <f t="shared" si="1"/>
        <v>51.281282798833836</v>
      </c>
    </row>
    <row r="31" spans="1:4" ht="31.5" x14ac:dyDescent="0.25">
      <c r="A31" s="99" t="s">
        <v>165</v>
      </c>
      <c r="B31" s="97">
        <v>0</v>
      </c>
      <c r="C31" s="98">
        <f t="shared" si="1"/>
        <v>0</v>
      </c>
      <c r="D31" s="98">
        <f t="shared" si="1"/>
        <v>0</v>
      </c>
    </row>
    <row r="32" spans="1:4" ht="15.75" x14ac:dyDescent="0.25">
      <c r="A32" s="230" t="s">
        <v>226</v>
      </c>
      <c r="B32" s="230"/>
      <c r="C32" s="101">
        <f>C24+C25+C26+C27</f>
        <v>1539.9405247813415</v>
      </c>
      <c r="D32" s="101">
        <f>D24+D25+D26+D27</f>
        <v>1025.6256559766764</v>
      </c>
    </row>
    <row r="34" spans="1:5" x14ac:dyDescent="0.25">
      <c r="A34" s="232" t="s">
        <v>238</v>
      </c>
      <c r="B34" s="233"/>
      <c r="C34" s="233"/>
      <c r="D34" s="233"/>
      <c r="E34" s="234"/>
    </row>
    <row r="35" spans="1:5" s="103" customFormat="1" ht="30" x14ac:dyDescent="0.25">
      <c r="A35" s="123" t="s">
        <v>237</v>
      </c>
      <c r="B35" s="123" t="s">
        <v>228</v>
      </c>
      <c r="C35" s="123" t="s">
        <v>229</v>
      </c>
      <c r="D35" s="123" t="s">
        <v>230</v>
      </c>
      <c r="E35" s="123" t="s">
        <v>231</v>
      </c>
    </row>
    <row r="36" spans="1:5" x14ac:dyDescent="0.25">
      <c r="A36" s="120" t="s">
        <v>233</v>
      </c>
      <c r="B36" s="120">
        <v>10</v>
      </c>
      <c r="C36" s="122">
        <f>C16*B36</f>
        <v>7761.7959183673465</v>
      </c>
      <c r="D36" s="120">
        <f>B36*12</f>
        <v>120</v>
      </c>
      <c r="E36" s="122">
        <f>C36*12</f>
        <v>93141.551020408166</v>
      </c>
    </row>
    <row r="37" spans="1:5" x14ac:dyDescent="0.25">
      <c r="A37" s="120" t="s">
        <v>234</v>
      </c>
      <c r="B37" s="120">
        <v>10</v>
      </c>
      <c r="C37" s="122">
        <f>D16*B37</f>
        <v>5294.157434402332</v>
      </c>
      <c r="D37" s="120">
        <f t="shared" ref="D37:D39" si="2">B37*12</f>
        <v>120</v>
      </c>
      <c r="E37" s="122">
        <f t="shared" ref="E37:E39" si="3">C37*12</f>
        <v>63529.889212827984</v>
      </c>
    </row>
    <row r="38" spans="1:5" x14ac:dyDescent="0.25">
      <c r="A38" s="120" t="s">
        <v>235</v>
      </c>
      <c r="B38" s="120">
        <v>6</v>
      </c>
      <c r="C38" s="122">
        <f>C32*B38</f>
        <v>9239.6431486880501</v>
      </c>
      <c r="D38" s="120">
        <f t="shared" si="2"/>
        <v>72</v>
      </c>
      <c r="E38" s="122">
        <f t="shared" si="3"/>
        <v>110875.7177842566</v>
      </c>
    </row>
    <row r="39" spans="1:5" x14ac:dyDescent="0.25">
      <c r="A39" s="120" t="s">
        <v>236</v>
      </c>
      <c r="B39" s="120">
        <v>5</v>
      </c>
      <c r="C39" s="122">
        <f>D32*B39</f>
        <v>5128.1282798833818</v>
      </c>
      <c r="D39" s="120">
        <f t="shared" si="2"/>
        <v>60</v>
      </c>
      <c r="E39" s="122">
        <f t="shared" si="3"/>
        <v>61537.539358600581</v>
      </c>
    </row>
    <row r="40" spans="1:5" x14ac:dyDescent="0.25">
      <c r="A40" s="105" t="s">
        <v>5</v>
      </c>
      <c r="B40" s="105">
        <f>SUM(B36:B39)</f>
        <v>31</v>
      </c>
      <c r="C40" s="124">
        <f>SUM(C36:C39)</f>
        <v>27423.724781341112</v>
      </c>
      <c r="D40" s="105">
        <f>SUM(D36:D39)</f>
        <v>372</v>
      </c>
      <c r="E40" s="124">
        <f>SUM(E36:E39)</f>
        <v>329084.6973760933</v>
      </c>
    </row>
  </sheetData>
  <mergeCells count="17">
    <mergeCell ref="A34:E34"/>
    <mergeCell ref="A20:B20"/>
    <mergeCell ref="A21:B21"/>
    <mergeCell ref="A22:B22"/>
    <mergeCell ref="A23:B23"/>
    <mergeCell ref="A24:B24"/>
    <mergeCell ref="A32:B32"/>
    <mergeCell ref="A3:B3"/>
    <mergeCell ref="A19:B19"/>
    <mergeCell ref="A2:D2"/>
    <mergeCell ref="A18:D18"/>
    <mergeCell ref="A8:B8"/>
    <mergeCell ref="A16:B16"/>
    <mergeCell ref="A4:B4"/>
    <mergeCell ref="A5:B5"/>
    <mergeCell ref="A6:B6"/>
    <mergeCell ref="A7:B7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12" sqref="B12"/>
    </sheetView>
  </sheetViews>
  <sheetFormatPr defaultRowHeight="15" x14ac:dyDescent="0.25"/>
  <cols>
    <col min="1" max="1" width="62.5703125" customWidth="1"/>
    <col min="2" max="2" width="16.140625" customWidth="1"/>
    <col min="3" max="3" width="17.7109375" customWidth="1"/>
  </cols>
  <sheetData>
    <row r="1" spans="1:3" ht="18.75" x14ac:dyDescent="0.25">
      <c r="A1" s="217" t="s">
        <v>358</v>
      </c>
      <c r="B1" s="217"/>
      <c r="C1" s="217"/>
    </row>
    <row r="2" spans="1:3" ht="31.5" x14ac:dyDescent="0.25">
      <c r="A2" s="87" t="s">
        <v>151</v>
      </c>
      <c r="B2" s="88" t="s">
        <v>152</v>
      </c>
      <c r="C2" s="89" t="s">
        <v>153</v>
      </c>
    </row>
    <row r="3" spans="1:3" ht="15.75" x14ac:dyDescent="0.25">
      <c r="A3" s="215" t="s">
        <v>339</v>
      </c>
      <c r="B3" s="215"/>
      <c r="C3" s="215"/>
    </row>
    <row r="4" spans="1:3" ht="15.75" x14ac:dyDescent="0.25">
      <c r="A4" s="211" t="s">
        <v>341</v>
      </c>
      <c r="B4" s="211"/>
      <c r="C4" s="90" t="s">
        <v>153</v>
      </c>
    </row>
    <row r="5" spans="1:3" ht="15.75" x14ac:dyDescent="0.25">
      <c r="A5" s="212" t="s">
        <v>340</v>
      </c>
      <c r="B5" s="212"/>
      <c r="C5" s="91">
        <v>1124.83</v>
      </c>
    </row>
    <row r="6" spans="1:3" ht="15.75" x14ac:dyDescent="0.25">
      <c r="A6" s="213" t="s">
        <v>359</v>
      </c>
      <c r="B6" s="213"/>
      <c r="C6" s="92">
        <f>4.49*138</f>
        <v>619.62</v>
      </c>
    </row>
    <row r="7" spans="1:3" ht="15.75" x14ac:dyDescent="0.25">
      <c r="A7" s="209" t="s">
        <v>221</v>
      </c>
      <c r="B7" s="209"/>
      <c r="C7" s="93">
        <f>SUM(C5:C6)</f>
        <v>1744.4499999999998</v>
      </c>
    </row>
    <row r="8" spans="1:3" ht="16.5" thickBot="1" x14ac:dyDescent="0.3">
      <c r="A8" s="135" t="s">
        <v>176</v>
      </c>
      <c r="B8" s="188">
        <v>9.0999999999999998E-2</v>
      </c>
      <c r="C8" s="95">
        <f>B8*C7</f>
        <v>158.74494999999999</v>
      </c>
    </row>
    <row r="9" spans="1:3" ht="16.5" thickBot="1" x14ac:dyDescent="0.3">
      <c r="A9" s="135" t="s">
        <v>177</v>
      </c>
      <c r="B9" s="188">
        <v>5.8999999999999997E-2</v>
      </c>
      <c r="C9" s="95">
        <f>B9*C7</f>
        <v>102.92254999999999</v>
      </c>
    </row>
    <row r="10" spans="1:3" ht="15.75" x14ac:dyDescent="0.25">
      <c r="A10" s="136" t="s">
        <v>178</v>
      </c>
      <c r="B10" s="97">
        <f>SUM(B11:B14)</f>
        <v>0.14250000000000002</v>
      </c>
      <c r="C10" s="98">
        <f>((C$7+C$8+C$9)/(1-($B$10)))*$B10</f>
        <v>333.37812682215753</v>
      </c>
    </row>
    <row r="11" spans="1:3" ht="15.75" x14ac:dyDescent="0.25">
      <c r="A11" s="99" t="s">
        <v>179</v>
      </c>
      <c r="B11" s="97">
        <v>9.2499999999999999E-2</v>
      </c>
      <c r="C11" s="98">
        <f t="shared" ref="C11:C14" si="0">((C$7+C$8+C$9)/(1-($B$10)))*$B11</f>
        <v>216.40334548104957</v>
      </c>
    </row>
    <row r="12" spans="1:3" ht="15.75" x14ac:dyDescent="0.25">
      <c r="A12" s="99" t="s">
        <v>180</v>
      </c>
      <c r="B12" s="97">
        <v>0</v>
      </c>
      <c r="C12" s="98">
        <f t="shared" si="0"/>
        <v>0</v>
      </c>
    </row>
    <row r="13" spans="1:3" ht="15.75" x14ac:dyDescent="0.25">
      <c r="A13" s="99" t="s">
        <v>181</v>
      </c>
      <c r="B13" s="97">
        <v>0.05</v>
      </c>
      <c r="C13" s="98">
        <f t="shared" si="0"/>
        <v>116.97478134110789</v>
      </c>
    </row>
    <row r="14" spans="1:3" ht="15.75" x14ac:dyDescent="0.25">
      <c r="A14" s="99" t="s">
        <v>182</v>
      </c>
      <c r="B14" s="97">
        <v>0</v>
      </c>
      <c r="C14" s="98">
        <f t="shared" si="0"/>
        <v>0</v>
      </c>
    </row>
    <row r="15" spans="1:3" ht="15.75" x14ac:dyDescent="0.25">
      <c r="A15" s="210" t="s">
        <v>329</v>
      </c>
      <c r="B15" s="210"/>
      <c r="C15" s="102">
        <f>C7+C10+C8+C9</f>
        <v>2339.4956268221567</v>
      </c>
    </row>
    <row r="16" spans="1:3" x14ac:dyDescent="0.25">
      <c r="A16" s="221" t="s">
        <v>345</v>
      </c>
      <c r="B16" s="221"/>
      <c r="C16" s="221"/>
    </row>
    <row r="17" spans="1:3" x14ac:dyDescent="0.25">
      <c r="A17" s="150"/>
      <c r="B17" s="150" t="s">
        <v>343</v>
      </c>
      <c r="C17" s="150" t="s">
        <v>344</v>
      </c>
    </row>
    <row r="18" spans="1:3" ht="15.75" x14ac:dyDescent="0.25">
      <c r="A18" s="142" t="s">
        <v>342</v>
      </c>
      <c r="B18" s="142">
        <v>12</v>
      </c>
      <c r="C18" s="143">
        <f>B18*C15</f>
        <v>28073.947521865881</v>
      </c>
    </row>
    <row r="20" spans="1:3" ht="15.75" x14ac:dyDescent="0.25">
      <c r="A20" s="206"/>
      <c r="B20" s="206"/>
      <c r="C20" s="206"/>
    </row>
    <row r="21" spans="1:3" x14ac:dyDescent="0.25">
      <c r="A21" s="207" t="s">
        <v>185</v>
      </c>
      <c r="B21" s="207"/>
      <c r="C21" s="207"/>
    </row>
    <row r="22" spans="1:3" x14ac:dyDescent="0.25">
      <c r="A22" s="207"/>
      <c r="B22" s="207"/>
      <c r="C22" s="207"/>
    </row>
    <row r="23" spans="1:3" x14ac:dyDescent="0.25">
      <c r="A23" s="207"/>
      <c r="B23" s="207"/>
      <c r="C23" s="207"/>
    </row>
    <row r="24" spans="1:3" ht="15.75" x14ac:dyDescent="0.25">
      <c r="A24" s="208" t="s">
        <v>186</v>
      </c>
      <c r="B24" s="208"/>
      <c r="C24" s="208"/>
    </row>
    <row r="25" spans="1:3" ht="15.75" x14ac:dyDescent="0.25">
      <c r="A25" s="208" t="s">
        <v>186</v>
      </c>
      <c r="B25" s="208"/>
      <c r="C25" s="208"/>
    </row>
    <row r="26" spans="1:3" ht="15.75" x14ac:dyDescent="0.25">
      <c r="A26" s="206"/>
      <c r="B26" s="206"/>
      <c r="C26" s="206"/>
    </row>
  </sheetData>
  <mergeCells count="13">
    <mergeCell ref="A20:C20"/>
    <mergeCell ref="A21:C23"/>
    <mergeCell ref="A24:C24"/>
    <mergeCell ref="A25:C25"/>
    <mergeCell ref="A26:C26"/>
    <mergeCell ref="A16:C16"/>
    <mergeCell ref="A15:B15"/>
    <mergeCell ref="A1:C1"/>
    <mergeCell ref="A3:C3"/>
    <mergeCell ref="A4:B4"/>
    <mergeCell ref="A5:B5"/>
    <mergeCell ref="A6:B6"/>
    <mergeCell ref="A7:B7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C17" sqref="C17"/>
    </sheetView>
  </sheetViews>
  <sheetFormatPr defaultRowHeight="15" x14ac:dyDescent="0.25"/>
  <cols>
    <col min="1" max="1" width="55.42578125" customWidth="1"/>
    <col min="2" max="2" width="14.28515625" customWidth="1"/>
    <col min="3" max="3" width="16.5703125" customWidth="1"/>
    <col min="4" max="4" width="12.7109375" customWidth="1"/>
    <col min="5" max="5" width="18.42578125" customWidth="1"/>
  </cols>
  <sheetData>
    <row r="2" spans="1:3" x14ac:dyDescent="0.25">
      <c r="A2" s="235" t="s">
        <v>245</v>
      </c>
      <c r="B2" s="235"/>
      <c r="C2" s="235"/>
    </row>
    <row r="3" spans="1:3" s="103" customFormat="1" x14ac:dyDescent="0.25">
      <c r="A3" s="223" t="s">
        <v>248</v>
      </c>
      <c r="B3" s="224"/>
      <c r="C3" s="121" t="s">
        <v>244</v>
      </c>
    </row>
    <row r="4" spans="1:3" s="103" customFormat="1" ht="15.75" x14ac:dyDescent="0.25">
      <c r="A4" s="237" t="s">
        <v>366</v>
      </c>
      <c r="B4" s="238"/>
      <c r="C4" s="158">
        <v>3829.32</v>
      </c>
    </row>
    <row r="5" spans="1:3" s="103" customFormat="1" ht="33.75" customHeight="1" x14ac:dyDescent="0.25">
      <c r="A5" s="237" t="s">
        <v>369</v>
      </c>
      <c r="B5" s="239"/>
      <c r="C5" s="158">
        <v>3829.32</v>
      </c>
    </row>
    <row r="6" spans="1:3" s="103" customFormat="1" ht="15.75" x14ac:dyDescent="0.25">
      <c r="A6" s="237" t="s">
        <v>367</v>
      </c>
      <c r="B6" s="239"/>
      <c r="C6" s="158">
        <v>736</v>
      </c>
    </row>
    <row r="7" spans="1:3" ht="51.75" customHeight="1" x14ac:dyDescent="0.25">
      <c r="A7" s="236" t="s">
        <v>368</v>
      </c>
      <c r="B7" s="236"/>
      <c r="C7" s="158">
        <f>SUM(C4:C6)</f>
        <v>8394.64</v>
      </c>
    </row>
    <row r="8" spans="1:3" ht="15.75" x14ac:dyDescent="0.25">
      <c r="A8" s="229" t="s">
        <v>221</v>
      </c>
      <c r="B8" s="229"/>
      <c r="C8" s="118">
        <f>SUM(C7:C7)</f>
        <v>8394.64</v>
      </c>
    </row>
    <row r="9" spans="1:3" ht="38.25" customHeight="1" thickBot="1" x14ac:dyDescent="0.3">
      <c r="A9" s="94" t="s">
        <v>159</v>
      </c>
      <c r="B9" s="188">
        <v>9.0999999999999998E-2</v>
      </c>
      <c r="C9" s="95">
        <f>B9*C8</f>
        <v>763.91223999999988</v>
      </c>
    </row>
    <row r="10" spans="1:3" ht="24" customHeight="1" thickBot="1" x14ac:dyDescent="0.3">
      <c r="A10" s="94" t="s">
        <v>160</v>
      </c>
      <c r="B10" s="188">
        <v>5.8999999999999997E-2</v>
      </c>
      <c r="C10" s="95">
        <f>B10*C8</f>
        <v>495.28375999999992</v>
      </c>
    </row>
    <row r="11" spans="1:3" ht="15.75" x14ac:dyDescent="0.25">
      <c r="A11" s="96" t="s">
        <v>161</v>
      </c>
      <c r="B11" s="97">
        <f>SUM(B12:B15)</f>
        <v>0.14250000000000002</v>
      </c>
      <c r="C11" s="98">
        <f>((C$8+C$9+C$10)/(1-($B$11)))*$B11</f>
        <v>1604.2817842565598</v>
      </c>
    </row>
    <row r="12" spans="1:3" ht="31.5" x14ac:dyDescent="0.25">
      <c r="A12" s="99" t="s">
        <v>162</v>
      </c>
      <c r="B12" s="97">
        <v>9.2499999999999999E-2</v>
      </c>
      <c r="C12" s="98">
        <f t="shared" ref="C12:C15" si="0">((C$8+C$9+C$10)/(1-($B$11)))*$B12</f>
        <v>1041.3758950437318</v>
      </c>
    </row>
    <row r="13" spans="1:3" ht="31.5" x14ac:dyDescent="0.25">
      <c r="A13" s="99" t="s">
        <v>163</v>
      </c>
      <c r="B13" s="97">
        <v>0</v>
      </c>
      <c r="C13" s="98">
        <f t="shared" si="0"/>
        <v>0</v>
      </c>
    </row>
    <row r="14" spans="1:3" ht="31.5" x14ac:dyDescent="0.25">
      <c r="A14" s="99" t="s">
        <v>164</v>
      </c>
      <c r="B14" s="97">
        <v>0.05</v>
      </c>
      <c r="C14" s="98">
        <f t="shared" si="0"/>
        <v>562.90588921282801</v>
      </c>
    </row>
    <row r="15" spans="1:3" ht="15.75" x14ac:dyDescent="0.25">
      <c r="A15" s="99" t="s">
        <v>165</v>
      </c>
      <c r="B15" s="97">
        <v>0</v>
      </c>
      <c r="C15" s="98">
        <f t="shared" si="0"/>
        <v>0</v>
      </c>
    </row>
    <row r="16" spans="1:3" ht="15.75" x14ac:dyDescent="0.25">
      <c r="A16" s="230" t="s">
        <v>246</v>
      </c>
      <c r="B16" s="230"/>
      <c r="C16" s="101">
        <f>C8+C9+C10+C11</f>
        <v>11258.117784256559</v>
      </c>
    </row>
    <row r="17" spans="1:3" ht="15.75" x14ac:dyDescent="0.25">
      <c r="A17" s="230" t="s">
        <v>247</v>
      </c>
      <c r="B17" s="230"/>
      <c r="C17" s="101">
        <f>C16*12</f>
        <v>135097.41341107871</v>
      </c>
    </row>
  </sheetData>
  <mergeCells count="9">
    <mergeCell ref="A2:C2"/>
    <mergeCell ref="A17:B17"/>
    <mergeCell ref="A8:B8"/>
    <mergeCell ref="A16:B16"/>
    <mergeCell ref="A3:B3"/>
    <mergeCell ref="A7:B7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topLeftCell="B44" workbookViewId="0">
      <selection activeCell="F50" sqref="F50"/>
    </sheetView>
  </sheetViews>
  <sheetFormatPr defaultRowHeight="15" x14ac:dyDescent="0.25"/>
  <cols>
    <col min="1" max="1" width="9.140625" style="174"/>
    <col min="2" max="2" width="44.7109375" customWidth="1"/>
    <col min="3" max="3" width="12.7109375" customWidth="1"/>
    <col min="4" max="4" width="14.140625" customWidth="1"/>
    <col min="5" max="5" width="17.85546875" customWidth="1"/>
    <col min="6" max="7" width="15.28515625" customWidth="1"/>
    <col min="8" max="8" width="18" customWidth="1"/>
    <col min="9" max="9" width="9.140625" style="134"/>
  </cols>
  <sheetData>
    <row r="2" spans="1:9" ht="15.75" x14ac:dyDescent="0.25">
      <c r="B2" s="263" t="s">
        <v>124</v>
      </c>
      <c r="C2" s="263"/>
      <c r="D2" s="263"/>
      <c r="E2" s="263"/>
      <c r="F2" s="263"/>
      <c r="G2" s="263"/>
      <c r="H2" s="263"/>
    </row>
    <row r="3" spans="1:9" x14ac:dyDescent="0.25">
      <c r="A3" s="246" t="s">
        <v>390</v>
      </c>
      <c r="B3" s="248" t="s">
        <v>198</v>
      </c>
      <c r="C3" s="248"/>
      <c r="D3" s="248"/>
      <c r="E3" s="248"/>
      <c r="F3" s="248"/>
      <c r="G3" s="248"/>
      <c r="H3" s="248"/>
    </row>
    <row r="4" spans="1:9" ht="24" x14ac:dyDescent="0.25">
      <c r="A4" s="247"/>
      <c r="B4" s="79" t="s">
        <v>2</v>
      </c>
      <c r="C4" s="79" t="s">
        <v>129</v>
      </c>
      <c r="D4" s="79" t="s">
        <v>125</v>
      </c>
      <c r="E4" s="79" t="s">
        <v>130</v>
      </c>
      <c r="F4" s="79" t="s">
        <v>126</v>
      </c>
      <c r="G4" s="79" t="s">
        <v>384</v>
      </c>
      <c r="H4" s="79" t="s">
        <v>127</v>
      </c>
    </row>
    <row r="5" spans="1:9" x14ac:dyDescent="0.25">
      <c r="A5" s="170" t="s">
        <v>391</v>
      </c>
      <c r="B5" s="78" t="s">
        <v>140</v>
      </c>
      <c r="C5" s="77">
        <f>'Planilha de Custos Téc. Campo'!C140</f>
        <v>11826.37907142083</v>
      </c>
      <c r="D5" s="78" t="s">
        <v>128</v>
      </c>
      <c r="E5" s="76">
        <v>12</v>
      </c>
      <c r="F5" s="77">
        <f t="shared" ref="F5:F11" si="0">C5*E5</f>
        <v>141916.54885704996</v>
      </c>
      <c r="G5" s="76">
        <v>12</v>
      </c>
      <c r="H5" s="80">
        <f>F5*12</f>
        <v>1702998.5862845995</v>
      </c>
      <c r="I5" s="134">
        <f t="shared" ref="I5:I19" si="1">H5/H$45</f>
        <v>0.28688235916506166</v>
      </c>
    </row>
    <row r="6" spans="1:9" x14ac:dyDescent="0.25">
      <c r="A6" s="170" t="s">
        <v>392</v>
      </c>
      <c r="B6" s="78" t="s">
        <v>139</v>
      </c>
      <c r="C6" s="77">
        <f>'Planilha de Custos Motorista'!C140</f>
        <v>11435.032954324224</v>
      </c>
      <c r="D6" s="78" t="s">
        <v>128</v>
      </c>
      <c r="E6" s="76">
        <v>12</v>
      </c>
      <c r="F6" s="77">
        <f t="shared" si="0"/>
        <v>137220.39545189068</v>
      </c>
      <c r="G6" s="76">
        <v>12</v>
      </c>
      <c r="H6" s="80">
        <f t="shared" ref="H6" si="2">F6*12</f>
        <v>1646644.7454226883</v>
      </c>
      <c r="I6" s="134">
        <f t="shared" si="1"/>
        <v>0.2773891493969029</v>
      </c>
    </row>
    <row r="7" spans="1:9" x14ac:dyDescent="0.25">
      <c r="A7" s="170" t="s">
        <v>393</v>
      </c>
      <c r="B7" s="78" t="s">
        <v>141</v>
      </c>
      <c r="C7" s="75">
        <f>'Operador de Logística'!C140</f>
        <v>4170.2164056655947</v>
      </c>
      <c r="D7" s="78" t="s">
        <v>128</v>
      </c>
      <c r="E7" s="76">
        <v>3</v>
      </c>
      <c r="F7" s="77">
        <f t="shared" si="0"/>
        <v>12510.649216996784</v>
      </c>
      <c r="G7" s="76">
        <v>3</v>
      </c>
      <c r="H7" s="80">
        <f>F7*12</f>
        <v>150127.79060396142</v>
      </c>
      <c r="I7" s="134">
        <f t="shared" si="1"/>
        <v>2.529010598808875E-2</v>
      </c>
    </row>
    <row r="8" spans="1:9" ht="15.75" customHeight="1" x14ac:dyDescent="0.25">
      <c r="A8" s="170" t="s">
        <v>394</v>
      </c>
      <c r="B8" s="78" t="s">
        <v>142</v>
      </c>
      <c r="C8" s="75">
        <f>'Operador de Rastreamento'!C140</f>
        <v>4373.5331864173531</v>
      </c>
      <c r="D8" s="78" t="s">
        <v>128</v>
      </c>
      <c r="E8" s="76">
        <v>1</v>
      </c>
      <c r="F8" s="77">
        <f t="shared" si="0"/>
        <v>4373.5331864173531</v>
      </c>
      <c r="G8" s="76">
        <v>1</v>
      </c>
      <c r="H8" s="80">
        <f>F8*12</f>
        <v>52482.398237008238</v>
      </c>
      <c r="I8" s="134">
        <f t="shared" si="1"/>
        <v>8.8410374160798281E-3</v>
      </c>
    </row>
    <row r="9" spans="1:9" x14ac:dyDescent="0.25">
      <c r="A9" s="170" t="s">
        <v>395</v>
      </c>
      <c r="B9" s="78" t="s">
        <v>143</v>
      </c>
      <c r="C9" s="75">
        <f>'Planilha de Custos Téc. Interno'!C140</f>
        <v>5390.1642835128068</v>
      </c>
      <c r="D9" s="78" t="s">
        <v>128</v>
      </c>
      <c r="E9" s="76">
        <v>2</v>
      </c>
      <c r="F9" s="77">
        <f t="shared" si="0"/>
        <v>10780.328567025614</v>
      </c>
      <c r="G9" s="76">
        <v>2</v>
      </c>
      <c r="H9" s="80">
        <f>F9*12</f>
        <v>129363.94280430736</v>
      </c>
      <c r="I9" s="134">
        <f t="shared" si="1"/>
        <v>2.1792286500695732E-2</v>
      </c>
    </row>
    <row r="10" spans="1:9" x14ac:dyDescent="0.25">
      <c r="A10" s="170" t="s">
        <v>396</v>
      </c>
      <c r="B10" s="78" t="s">
        <v>146</v>
      </c>
      <c r="C10" s="75">
        <f>'Supervisor de Op.'!C140</f>
        <v>7886.6544561358751</v>
      </c>
      <c r="D10" s="78" t="s">
        <v>128</v>
      </c>
      <c r="E10" s="76">
        <v>2</v>
      </c>
      <c r="F10" s="77">
        <f t="shared" si="0"/>
        <v>15773.30891227175</v>
      </c>
      <c r="G10" s="76">
        <v>2</v>
      </c>
      <c r="H10" s="80">
        <f>F10*12</f>
        <v>189279.706947261</v>
      </c>
      <c r="I10" s="134">
        <f t="shared" si="1"/>
        <v>3.1885527861517049E-2</v>
      </c>
    </row>
    <row r="11" spans="1:9" x14ac:dyDescent="0.25">
      <c r="A11" s="170" t="s">
        <v>397</v>
      </c>
      <c r="B11" s="78" t="s">
        <v>354</v>
      </c>
      <c r="C11" s="75">
        <f>Gerente!C140</f>
        <v>12541.202516982443</v>
      </c>
      <c r="D11" s="78" t="s">
        <v>128</v>
      </c>
      <c r="E11" s="76">
        <v>1</v>
      </c>
      <c r="F11" s="77">
        <f t="shared" si="0"/>
        <v>12541.202516982443</v>
      </c>
      <c r="G11" s="76">
        <v>1</v>
      </c>
      <c r="H11" s="80">
        <f>F11*12</f>
        <v>150494.43020378932</v>
      </c>
      <c r="I11" s="134">
        <f t="shared" si="1"/>
        <v>2.5351869065409583E-2</v>
      </c>
    </row>
    <row r="12" spans="1:9" ht="34.5" customHeight="1" x14ac:dyDescent="0.25">
      <c r="A12" s="170"/>
      <c r="B12" s="249" t="s">
        <v>147</v>
      </c>
      <c r="C12" s="250"/>
      <c r="D12" s="251"/>
      <c r="E12" s="116">
        <f>SUM(E5:E11)</f>
        <v>33</v>
      </c>
      <c r="F12" s="117">
        <f>SUM(F5:F11)</f>
        <v>335115.96670863463</v>
      </c>
      <c r="G12" s="116">
        <f>SUM(G5:G11)</f>
        <v>33</v>
      </c>
      <c r="H12" s="117">
        <f>SUM(H5:H11)</f>
        <v>4021391.6005036146</v>
      </c>
      <c r="I12" s="134">
        <f t="shared" si="1"/>
        <v>0.67743233539375536</v>
      </c>
    </row>
    <row r="13" spans="1:9" x14ac:dyDescent="0.25">
      <c r="A13" s="246" t="s">
        <v>390</v>
      </c>
      <c r="B13" s="248" t="s">
        <v>199</v>
      </c>
      <c r="C13" s="248"/>
      <c r="D13" s="248"/>
      <c r="E13" s="248"/>
      <c r="F13" s="248"/>
      <c r="G13" s="248"/>
      <c r="H13" s="248"/>
    </row>
    <row r="14" spans="1:9" ht="24" x14ac:dyDescent="0.25">
      <c r="A14" s="247"/>
      <c r="B14" s="79" t="s">
        <v>2</v>
      </c>
      <c r="C14" s="79" t="s">
        <v>200</v>
      </c>
      <c r="D14" s="79" t="s">
        <v>125</v>
      </c>
      <c r="E14" s="79" t="s">
        <v>205</v>
      </c>
      <c r="F14" s="79" t="s">
        <v>126</v>
      </c>
      <c r="G14" s="79" t="s">
        <v>346</v>
      </c>
      <c r="H14" s="79" t="s">
        <v>127</v>
      </c>
    </row>
    <row r="15" spans="1:9" x14ac:dyDescent="0.25">
      <c r="A15" s="170" t="s">
        <v>398</v>
      </c>
      <c r="B15" s="78" t="s">
        <v>201</v>
      </c>
      <c r="C15" s="77">
        <f>'Veic.Tipo 1'!C18</f>
        <v>6030.0956763848399</v>
      </c>
      <c r="D15" s="78" t="s">
        <v>203</v>
      </c>
      <c r="E15" s="76">
        <v>6</v>
      </c>
      <c r="F15" s="77">
        <f>C15*E15</f>
        <v>36180.574058309037</v>
      </c>
      <c r="G15" s="76">
        <v>6</v>
      </c>
      <c r="H15" s="80">
        <f>F15*12</f>
        <v>434166.88869970845</v>
      </c>
      <c r="I15" s="134">
        <f t="shared" si="1"/>
        <v>7.3138534761362339E-2</v>
      </c>
    </row>
    <row r="16" spans="1:9" x14ac:dyDescent="0.25">
      <c r="A16" s="170" t="s">
        <v>399</v>
      </c>
      <c r="B16" s="78" t="s">
        <v>202</v>
      </c>
      <c r="C16" s="77">
        <f>'Veic.Tipo 1'!C37</f>
        <v>1.405736654092022</v>
      </c>
      <c r="D16" s="78" t="s">
        <v>204</v>
      </c>
      <c r="E16" s="76">
        <v>12139.2</v>
      </c>
      <c r="F16" s="77">
        <f>C16*E16</f>
        <v>17064.518391353875</v>
      </c>
      <c r="G16" s="77">
        <f>E16*12</f>
        <v>145670.40000000002</v>
      </c>
      <c r="H16" s="80">
        <f>F16*12</f>
        <v>204774.22069624648</v>
      </c>
      <c r="I16" s="134">
        <f t="shared" si="1"/>
        <v>3.4495690133067865E-2</v>
      </c>
    </row>
    <row r="17" spans="1:11" x14ac:dyDescent="0.25">
      <c r="A17" s="170" t="s">
        <v>400</v>
      </c>
      <c r="B17" s="78" t="s">
        <v>206</v>
      </c>
      <c r="C17" s="77">
        <f>'Veic.Tipo 2'!C18</f>
        <v>6452.9128906705537</v>
      </c>
      <c r="D17" s="78" t="s">
        <v>203</v>
      </c>
      <c r="E17" s="76">
        <v>6</v>
      </c>
      <c r="F17" s="77">
        <f>C17*E17</f>
        <v>38717.477344023326</v>
      </c>
      <c r="G17" s="76">
        <v>6</v>
      </c>
      <c r="H17" s="80">
        <f>F17*12</f>
        <v>464609.72812827991</v>
      </c>
      <c r="I17" s="134">
        <f t="shared" si="1"/>
        <v>7.8266849996200843E-2</v>
      </c>
    </row>
    <row r="18" spans="1:11" x14ac:dyDescent="0.25">
      <c r="A18" s="170" t="s">
        <v>401</v>
      </c>
      <c r="B18" s="78" t="s">
        <v>207</v>
      </c>
      <c r="C18" s="77">
        <f>'Veic.Tipo 2'!C37</f>
        <v>1.3448659080522063</v>
      </c>
      <c r="D18" s="78" t="s">
        <v>204</v>
      </c>
      <c r="E18" s="76">
        <v>12139.2</v>
      </c>
      <c r="F18" s="77">
        <f>C18*E18</f>
        <v>16325.596231027344</v>
      </c>
      <c r="G18" s="77">
        <f>E18*12</f>
        <v>145670.40000000002</v>
      </c>
      <c r="H18" s="80">
        <f>F18*12</f>
        <v>195907.15477232813</v>
      </c>
      <c r="I18" s="134">
        <f t="shared" si="1"/>
        <v>3.3001969109684282E-2</v>
      </c>
    </row>
    <row r="19" spans="1:11" ht="15" customHeight="1" x14ac:dyDescent="0.25">
      <c r="A19" s="170"/>
      <c r="B19" s="256" t="s">
        <v>147</v>
      </c>
      <c r="C19" s="257"/>
      <c r="D19" s="258"/>
      <c r="E19" s="116" t="s">
        <v>209</v>
      </c>
      <c r="F19" s="262">
        <f>SUM(F15:F18)</f>
        <v>108288.16602471359</v>
      </c>
      <c r="G19" s="137" t="s">
        <v>209</v>
      </c>
      <c r="H19" s="262">
        <f>SUM(H15:H18)</f>
        <v>1299457.992296563</v>
      </c>
      <c r="I19" s="255">
        <f t="shared" si="1"/>
        <v>0.21890304400031532</v>
      </c>
      <c r="K19" s="125"/>
    </row>
    <row r="20" spans="1:11" ht="17.25" customHeight="1" x14ac:dyDescent="0.25">
      <c r="A20" s="170"/>
      <c r="B20" s="259"/>
      <c r="C20" s="260"/>
      <c r="D20" s="261"/>
      <c r="E20" s="116" t="s">
        <v>348</v>
      </c>
      <c r="F20" s="262"/>
      <c r="G20" s="137" t="s">
        <v>357</v>
      </c>
      <c r="H20" s="262"/>
      <c r="I20" s="255"/>
    </row>
    <row r="21" spans="1:11" x14ac:dyDescent="0.25">
      <c r="A21" s="246" t="s">
        <v>390</v>
      </c>
      <c r="B21" s="248" t="s">
        <v>215</v>
      </c>
      <c r="C21" s="248"/>
      <c r="D21" s="248"/>
      <c r="E21" s="248"/>
      <c r="F21" s="248"/>
      <c r="G21" s="248"/>
      <c r="H21" s="248"/>
    </row>
    <row r="22" spans="1:11" ht="24" x14ac:dyDescent="0.25">
      <c r="A22" s="247"/>
      <c r="B22" s="79" t="s">
        <v>2</v>
      </c>
      <c r="C22" s="79" t="s">
        <v>200</v>
      </c>
      <c r="D22" s="79" t="s">
        <v>125</v>
      </c>
      <c r="E22" s="79" t="s">
        <v>335</v>
      </c>
      <c r="F22" s="79" t="s">
        <v>126</v>
      </c>
      <c r="G22" s="79" t="s">
        <v>385</v>
      </c>
      <c r="H22" s="79" t="s">
        <v>336</v>
      </c>
    </row>
    <row r="23" spans="1:11" ht="15.75" customHeight="1" x14ac:dyDescent="0.25">
      <c r="A23" s="170" t="s">
        <v>402</v>
      </c>
      <c r="B23" s="78" t="s">
        <v>242</v>
      </c>
      <c r="C23" s="77">
        <f>Empilhadeira!C26</f>
        <v>452.57204545454545</v>
      </c>
      <c r="D23" s="78" t="s">
        <v>216</v>
      </c>
      <c r="E23" s="76">
        <v>3</v>
      </c>
      <c r="F23" s="77">
        <f>C23*E23</f>
        <v>1357.7161363636365</v>
      </c>
      <c r="G23" s="76">
        <f>E23*12</f>
        <v>36</v>
      </c>
      <c r="H23" s="80">
        <f>F23*12</f>
        <v>16292.593636363637</v>
      </c>
      <c r="I23" s="134">
        <f t="shared" ref="I23:I36" si="3">H23/H$45</f>
        <v>2.7446045680607264E-3</v>
      </c>
    </row>
    <row r="24" spans="1:11" ht="15.75" customHeight="1" x14ac:dyDescent="0.25">
      <c r="A24" s="170" t="s">
        <v>403</v>
      </c>
      <c r="B24" s="78" t="s">
        <v>337</v>
      </c>
      <c r="C24" s="77">
        <f>Empilhadeira!C38</f>
        <v>201.1661807580175</v>
      </c>
      <c r="D24" s="78" t="s">
        <v>338</v>
      </c>
      <c r="E24" s="76">
        <v>2</v>
      </c>
      <c r="F24" s="77">
        <f>C24*E24</f>
        <v>402.33236151603501</v>
      </c>
      <c r="G24" s="76">
        <f>E24*12</f>
        <v>24</v>
      </c>
      <c r="H24" s="80">
        <f>F24*12</f>
        <v>4827.9883381924201</v>
      </c>
      <c r="I24" s="134">
        <f t="shared" si="3"/>
        <v>8.1330935658837917E-4</v>
      </c>
    </row>
    <row r="25" spans="1:11" x14ac:dyDescent="0.25">
      <c r="A25" s="170"/>
      <c r="B25" s="249" t="s">
        <v>147</v>
      </c>
      <c r="C25" s="250"/>
      <c r="D25" s="251"/>
      <c r="E25" s="116" t="s">
        <v>208</v>
      </c>
      <c r="F25" s="117">
        <f>SUM(F23:F24)</f>
        <v>1760.0484978796715</v>
      </c>
      <c r="G25" s="137" t="s">
        <v>208</v>
      </c>
      <c r="H25" s="117">
        <f>SUM(H23:H24)</f>
        <v>21120.581974556058</v>
      </c>
      <c r="I25" s="134">
        <f t="shared" si="3"/>
        <v>3.5579139246491058E-3</v>
      </c>
    </row>
    <row r="26" spans="1:11" x14ac:dyDescent="0.25">
      <c r="A26" s="246" t="s">
        <v>390</v>
      </c>
      <c r="B26" s="248" t="s">
        <v>245</v>
      </c>
      <c r="C26" s="248"/>
      <c r="D26" s="248"/>
      <c r="E26" s="248"/>
      <c r="F26" s="248"/>
      <c r="G26" s="248"/>
      <c r="H26" s="248"/>
    </row>
    <row r="27" spans="1:11" ht="24" x14ac:dyDescent="0.25">
      <c r="A27" s="247"/>
      <c r="B27" s="79" t="s">
        <v>2</v>
      </c>
      <c r="C27" s="79" t="s">
        <v>200</v>
      </c>
      <c r="D27" s="79" t="s">
        <v>125</v>
      </c>
      <c r="E27" s="79" t="s">
        <v>205</v>
      </c>
      <c r="F27" s="79" t="s">
        <v>126</v>
      </c>
      <c r="G27" s="79" t="s">
        <v>346</v>
      </c>
      <c r="H27" s="79" t="s">
        <v>127</v>
      </c>
    </row>
    <row r="28" spans="1:11" ht="42" customHeight="1" x14ac:dyDescent="0.25">
      <c r="A28" s="170" t="s">
        <v>404</v>
      </c>
      <c r="B28" s="78" t="s">
        <v>243</v>
      </c>
      <c r="C28" s="77">
        <f>'Sistemas Log.'!C16</f>
        <v>11258.117784256559</v>
      </c>
      <c r="D28" s="78" t="s">
        <v>249</v>
      </c>
      <c r="E28" s="76">
        <v>1</v>
      </c>
      <c r="F28" s="77">
        <f>C28*E28</f>
        <v>11258.117784256559</v>
      </c>
      <c r="G28" s="76">
        <v>12</v>
      </c>
      <c r="H28" s="80">
        <f>F28*12</f>
        <v>135097.41341107871</v>
      </c>
      <c r="I28" s="134">
        <f t="shared" si="3"/>
        <v>2.275813085730357E-2</v>
      </c>
    </row>
    <row r="29" spans="1:11" x14ac:dyDescent="0.25">
      <c r="A29" s="170"/>
      <c r="B29" s="249" t="s">
        <v>147</v>
      </c>
      <c r="C29" s="250"/>
      <c r="D29" s="251"/>
      <c r="E29" s="116">
        <v>1</v>
      </c>
      <c r="F29" s="117">
        <f>SUM(F28:F28)</f>
        <v>11258.117784256559</v>
      </c>
      <c r="G29" s="169">
        <v>12</v>
      </c>
      <c r="H29" s="117">
        <f>SUM(H28:H28)</f>
        <v>135097.41341107871</v>
      </c>
      <c r="I29" s="134">
        <f t="shared" si="3"/>
        <v>2.275813085730357E-2</v>
      </c>
    </row>
    <row r="30" spans="1:11" x14ac:dyDescent="0.25">
      <c r="A30" s="246" t="s">
        <v>390</v>
      </c>
      <c r="B30" s="248" t="s">
        <v>251</v>
      </c>
      <c r="C30" s="248"/>
      <c r="D30" s="248"/>
      <c r="E30" s="248"/>
      <c r="F30" s="248"/>
      <c r="G30" s="248"/>
      <c r="H30" s="248"/>
    </row>
    <row r="31" spans="1:11" ht="24" x14ac:dyDescent="0.25">
      <c r="A31" s="247"/>
      <c r="B31" s="79" t="s">
        <v>2</v>
      </c>
      <c r="C31" s="79" t="s">
        <v>200</v>
      </c>
      <c r="D31" s="79" t="s">
        <v>125</v>
      </c>
      <c r="E31" s="79" t="s">
        <v>205</v>
      </c>
      <c r="F31" s="79" t="s">
        <v>126</v>
      </c>
      <c r="G31" s="79" t="s">
        <v>346</v>
      </c>
      <c r="H31" s="79" t="s">
        <v>127</v>
      </c>
    </row>
    <row r="32" spans="1:11" x14ac:dyDescent="0.25">
      <c r="A32" s="170" t="s">
        <v>405</v>
      </c>
      <c r="B32" s="126" t="s">
        <v>233</v>
      </c>
      <c r="C32" s="77">
        <f>'Enc. Expressa'!C16</f>
        <v>776.17959183673463</v>
      </c>
      <c r="D32" s="78" t="s">
        <v>252</v>
      </c>
      <c r="E32" s="126">
        <v>10</v>
      </c>
      <c r="F32" s="127">
        <f>C32*E32</f>
        <v>7761.7959183673465</v>
      </c>
      <c r="G32" s="126">
        <f>E32*12</f>
        <v>120</v>
      </c>
      <c r="H32" s="128">
        <f>F32*12</f>
        <v>93141.551020408166</v>
      </c>
      <c r="I32" s="134">
        <f t="shared" si="3"/>
        <v>1.5690364107303012E-2</v>
      </c>
    </row>
    <row r="33" spans="1:9" x14ac:dyDescent="0.25">
      <c r="A33" s="170" t="s">
        <v>406</v>
      </c>
      <c r="B33" s="126" t="s">
        <v>234</v>
      </c>
      <c r="C33" s="77">
        <f>'Enc. Expressa'!D16</f>
        <v>529.4157434402332</v>
      </c>
      <c r="D33" s="78" t="s">
        <v>252</v>
      </c>
      <c r="E33" s="126">
        <v>10</v>
      </c>
      <c r="F33" s="127">
        <f>C33*E33</f>
        <v>5294.157434402332</v>
      </c>
      <c r="G33" s="126">
        <f t="shared" ref="G33:G35" si="4">E33*12</f>
        <v>120</v>
      </c>
      <c r="H33" s="128">
        <f t="shared" ref="H33:H35" si="5">F33*12</f>
        <v>63529.889212827984</v>
      </c>
      <c r="I33" s="134">
        <f t="shared" si="3"/>
        <v>1.0702066720227617E-2</v>
      </c>
    </row>
    <row r="34" spans="1:9" x14ac:dyDescent="0.25">
      <c r="A34" s="170" t="s">
        <v>407</v>
      </c>
      <c r="B34" s="126" t="s">
        <v>235</v>
      </c>
      <c r="C34" s="77">
        <f>'Enc. Expressa'!C32</f>
        <v>1539.9405247813415</v>
      </c>
      <c r="D34" s="78" t="s">
        <v>252</v>
      </c>
      <c r="E34" s="126">
        <v>6</v>
      </c>
      <c r="F34" s="127">
        <f>C34*E34</f>
        <v>9239.6431486880501</v>
      </c>
      <c r="G34" s="126">
        <f t="shared" si="4"/>
        <v>72</v>
      </c>
      <c r="H34" s="128">
        <f t="shared" si="5"/>
        <v>110875.7177842566</v>
      </c>
      <c r="I34" s="134">
        <f t="shared" si="3"/>
        <v>1.867781203592345E-2</v>
      </c>
    </row>
    <row r="35" spans="1:9" x14ac:dyDescent="0.25">
      <c r="A35" s="170" t="s">
        <v>408</v>
      </c>
      <c r="B35" s="126" t="s">
        <v>236</v>
      </c>
      <c r="C35" s="77">
        <f>'Enc. Expressa'!D32</f>
        <v>1025.6256559766764</v>
      </c>
      <c r="D35" s="78" t="s">
        <v>252</v>
      </c>
      <c r="E35" s="126">
        <v>5</v>
      </c>
      <c r="F35" s="127">
        <f>C35*E35</f>
        <v>5128.1282798833818</v>
      </c>
      <c r="G35" s="126">
        <f t="shared" si="4"/>
        <v>60</v>
      </c>
      <c r="H35" s="128">
        <f t="shared" si="5"/>
        <v>61537.539358600581</v>
      </c>
      <c r="I35" s="134">
        <f t="shared" si="3"/>
        <v>1.0366441059075479E-2</v>
      </c>
    </row>
    <row r="36" spans="1:9" x14ac:dyDescent="0.25">
      <c r="A36" s="170"/>
      <c r="B36" s="249" t="s">
        <v>147</v>
      </c>
      <c r="C36" s="250"/>
      <c r="D36" s="251"/>
      <c r="E36" s="116">
        <f>SUM(E32:E35)</f>
        <v>31</v>
      </c>
      <c r="F36" s="117">
        <f>SUM(F32:F35)</f>
        <v>27423.724781341112</v>
      </c>
      <c r="G36" s="151">
        <f>E36*12</f>
        <v>372</v>
      </c>
      <c r="H36" s="117">
        <f>SUM(H32:H35)</f>
        <v>329084.6973760933</v>
      </c>
      <c r="I36" s="134">
        <f t="shared" si="3"/>
        <v>5.5436683922529553E-2</v>
      </c>
    </row>
    <row r="37" spans="1:9" x14ac:dyDescent="0.25">
      <c r="A37" s="246" t="s">
        <v>390</v>
      </c>
      <c r="B37" s="248" t="s">
        <v>360</v>
      </c>
      <c r="C37" s="248"/>
      <c r="D37" s="248"/>
      <c r="E37" s="248"/>
      <c r="F37" s="248"/>
      <c r="G37" s="248"/>
      <c r="H37" s="248"/>
    </row>
    <row r="38" spans="1:9" ht="24" x14ac:dyDescent="0.25">
      <c r="A38" s="247"/>
      <c r="B38" s="79" t="s">
        <v>2</v>
      </c>
      <c r="C38" s="79" t="s">
        <v>200</v>
      </c>
      <c r="D38" s="79" t="s">
        <v>125</v>
      </c>
      <c r="E38" s="79" t="s">
        <v>205</v>
      </c>
      <c r="F38" s="79" t="s">
        <v>126</v>
      </c>
      <c r="G38" s="79" t="s">
        <v>346</v>
      </c>
      <c r="H38" s="79" t="s">
        <v>127</v>
      </c>
    </row>
    <row r="39" spans="1:9" ht="20.25" customHeight="1" x14ac:dyDescent="0.25">
      <c r="A39" s="170" t="s">
        <v>409</v>
      </c>
      <c r="B39" s="141" t="s">
        <v>361</v>
      </c>
      <c r="C39" s="77">
        <f>Barco!C15</f>
        <v>2339.4956268221567</v>
      </c>
      <c r="D39" s="78" t="s">
        <v>216</v>
      </c>
      <c r="E39" s="126">
        <v>1</v>
      </c>
      <c r="F39" s="127">
        <f>C39*E39</f>
        <v>2339.4956268221567</v>
      </c>
      <c r="G39" s="126">
        <v>12</v>
      </c>
      <c r="H39" s="128">
        <f>F39*12</f>
        <v>28073.947521865881</v>
      </c>
      <c r="I39" s="134">
        <f t="shared" ref="I39:I44" si="6">H39/H$45</f>
        <v>4.7292583570019923E-3</v>
      </c>
    </row>
    <row r="40" spans="1:9" x14ac:dyDescent="0.25">
      <c r="A40" s="170"/>
      <c r="B40" s="138"/>
      <c r="C40" s="139"/>
      <c r="D40" s="140"/>
      <c r="E40" s="151">
        <v>1</v>
      </c>
      <c r="F40" s="152">
        <f>F39</f>
        <v>2339.4956268221567</v>
      </c>
      <c r="G40" s="151">
        <v>12</v>
      </c>
      <c r="H40" s="152">
        <f>F40*12</f>
        <v>28073.947521865881</v>
      </c>
      <c r="I40" s="134">
        <f t="shared" si="6"/>
        <v>4.7292583570019923E-3</v>
      </c>
    </row>
    <row r="41" spans="1:9" x14ac:dyDescent="0.25">
      <c r="A41" s="246" t="s">
        <v>390</v>
      </c>
      <c r="B41" s="248" t="s">
        <v>387</v>
      </c>
      <c r="C41" s="248"/>
      <c r="D41" s="248"/>
      <c r="E41" s="248"/>
      <c r="F41" s="248"/>
      <c r="G41" s="248"/>
      <c r="H41" s="248"/>
    </row>
    <row r="42" spans="1:9" ht="24" x14ac:dyDescent="0.25">
      <c r="A42" s="247"/>
      <c r="B42" s="79" t="s">
        <v>2</v>
      </c>
      <c r="C42" s="79" t="s">
        <v>200</v>
      </c>
      <c r="D42" s="79" t="s">
        <v>125</v>
      </c>
      <c r="E42" s="79" t="s">
        <v>205</v>
      </c>
      <c r="F42" s="79" t="s">
        <v>126</v>
      </c>
      <c r="G42" s="79" t="s">
        <v>346</v>
      </c>
      <c r="H42" s="79" t="s">
        <v>127</v>
      </c>
    </row>
    <row r="43" spans="1:9" ht="30" x14ac:dyDescent="0.25">
      <c r="A43" s="170" t="s">
        <v>410</v>
      </c>
      <c r="B43" s="170" t="s">
        <v>388</v>
      </c>
      <c r="C43" s="77">
        <v>8500</v>
      </c>
      <c r="D43" s="78" t="s">
        <v>389</v>
      </c>
      <c r="E43" s="126">
        <v>1</v>
      </c>
      <c r="F43" s="127">
        <f>C43*E43</f>
        <v>8500</v>
      </c>
      <c r="G43" s="126">
        <v>12</v>
      </c>
      <c r="H43" s="128">
        <f>F43*12</f>
        <v>102000</v>
      </c>
      <c r="I43" s="134">
        <f t="shared" si="6"/>
        <v>1.7182633544445068E-2</v>
      </c>
    </row>
    <row r="44" spans="1:9" x14ac:dyDescent="0.25">
      <c r="A44" s="170"/>
      <c r="B44" s="171"/>
      <c r="C44" s="172"/>
      <c r="D44" s="173"/>
      <c r="E44" s="151">
        <v>1</v>
      </c>
      <c r="F44" s="152">
        <f>F43</f>
        <v>8500</v>
      </c>
      <c r="G44" s="151">
        <v>12</v>
      </c>
      <c r="H44" s="152">
        <f>F44*12</f>
        <v>102000</v>
      </c>
      <c r="I44" s="134">
        <f t="shared" si="6"/>
        <v>1.7182633544445068E-2</v>
      </c>
    </row>
    <row r="45" spans="1:9" ht="40.5" customHeight="1" x14ac:dyDescent="0.25">
      <c r="A45" s="170"/>
      <c r="B45" s="252" t="s">
        <v>250</v>
      </c>
      <c r="C45" s="253"/>
      <c r="D45" s="254"/>
      <c r="E45" s="129" t="s">
        <v>208</v>
      </c>
      <c r="F45" s="130">
        <f>F29+F25+F19+F12+F36+F40+F44</f>
        <v>494685.51942364773</v>
      </c>
      <c r="G45" s="130" t="s">
        <v>208</v>
      </c>
      <c r="H45" s="130">
        <f>H12+H19+H25+H29+H36+H40+H44</f>
        <v>5936226.2330837715</v>
      </c>
      <c r="I45" s="134">
        <f>H45/H$45</f>
        <v>1</v>
      </c>
    </row>
    <row r="48" spans="1:9" ht="32.25" customHeight="1" x14ac:dyDescent="0.25">
      <c r="A48" s="245" t="s">
        <v>417</v>
      </c>
      <c r="B48" s="245"/>
      <c r="C48" s="245"/>
      <c r="D48" s="245"/>
      <c r="E48" s="245"/>
    </row>
    <row r="49" spans="1:5" ht="48" customHeight="1" x14ac:dyDescent="0.25">
      <c r="A49" s="243" t="s">
        <v>411</v>
      </c>
      <c r="B49" s="243" t="s">
        <v>415</v>
      </c>
      <c r="C49" s="243" t="s">
        <v>412</v>
      </c>
      <c r="D49" s="243" t="s">
        <v>416</v>
      </c>
      <c r="E49" s="243" t="s">
        <v>413</v>
      </c>
    </row>
    <row r="50" spans="1:5" ht="15.75" thickBot="1" x14ac:dyDescent="0.3">
      <c r="A50" s="244"/>
      <c r="B50" s="244"/>
      <c r="C50" s="244"/>
      <c r="D50" s="244"/>
      <c r="E50" s="244"/>
    </row>
    <row r="51" spans="1:5" ht="50.25" customHeight="1" thickBot="1" x14ac:dyDescent="0.3">
      <c r="A51" s="177">
        <v>1</v>
      </c>
      <c r="B51" s="176" t="s">
        <v>418</v>
      </c>
      <c r="C51" s="176" t="s">
        <v>414</v>
      </c>
      <c r="D51" s="176" t="s">
        <v>420</v>
      </c>
      <c r="E51" s="178">
        <f>H5+H6+H7+H8+H9+H10+H11+H15+H17+H28</f>
        <v>5055265.6307426812</v>
      </c>
    </row>
    <row r="52" spans="1:5" ht="51" x14ac:dyDescent="0.25">
      <c r="A52" s="175">
        <v>2</v>
      </c>
      <c r="B52" s="179" t="s">
        <v>419</v>
      </c>
      <c r="C52" s="179" t="s">
        <v>414</v>
      </c>
      <c r="D52" s="179" t="s">
        <v>421</v>
      </c>
      <c r="E52" s="180">
        <f>H16+H18+H23+H24+H32+H33+H34+H35+H39+H43</f>
        <v>880960.60234108975</v>
      </c>
    </row>
    <row r="53" spans="1:5" ht="35.25" customHeight="1" x14ac:dyDescent="0.25">
      <c r="A53" s="240" t="s">
        <v>197</v>
      </c>
      <c r="B53" s="241"/>
      <c r="C53" s="241"/>
      <c r="D53" s="242"/>
      <c r="E53" s="181">
        <f>E52+E51</f>
        <v>5936226.2330837706</v>
      </c>
    </row>
  </sheetData>
  <mergeCells count="31">
    <mergeCell ref="B2:H2"/>
    <mergeCell ref="B3:H3"/>
    <mergeCell ref="B12:D12"/>
    <mergeCell ref="B13:H13"/>
    <mergeCell ref="B37:H37"/>
    <mergeCell ref="B41:H41"/>
    <mergeCell ref="I19:I20"/>
    <mergeCell ref="B19:D20"/>
    <mergeCell ref="F19:F20"/>
    <mergeCell ref="H19:H20"/>
    <mergeCell ref="E49:E50"/>
    <mergeCell ref="A48:E48"/>
    <mergeCell ref="A37:A38"/>
    <mergeCell ref="A41:A42"/>
    <mergeCell ref="A3:A4"/>
    <mergeCell ref="A13:A14"/>
    <mergeCell ref="A21:A22"/>
    <mergeCell ref="A26:A27"/>
    <mergeCell ref="A30:A31"/>
    <mergeCell ref="B21:H21"/>
    <mergeCell ref="B25:D25"/>
    <mergeCell ref="B26:H26"/>
    <mergeCell ref="B29:D29"/>
    <mergeCell ref="B45:D45"/>
    <mergeCell ref="B30:H30"/>
    <mergeCell ref="B36:D36"/>
    <mergeCell ref="A53:D53"/>
    <mergeCell ref="A49:A50"/>
    <mergeCell ref="C49:C50"/>
    <mergeCell ref="D49:D50"/>
    <mergeCell ref="B49:B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8" workbookViewId="0">
      <selection activeCell="D23" sqref="D23"/>
    </sheetView>
  </sheetViews>
  <sheetFormatPr defaultRowHeight="15" x14ac:dyDescent="0.25"/>
  <cols>
    <col min="1" max="1" width="30.85546875" customWidth="1"/>
    <col min="2" max="2" width="28.42578125" customWidth="1"/>
    <col min="3" max="3" width="35.140625" customWidth="1"/>
    <col min="4" max="4" width="23.5703125" customWidth="1"/>
    <col min="5" max="5" width="16" customWidth="1"/>
    <col min="6" max="6" width="15.7109375" customWidth="1"/>
    <col min="8" max="8" width="11.28515625" customWidth="1"/>
    <col min="10" max="10" width="11.5703125" bestFit="1" customWidth="1"/>
  </cols>
  <sheetData>
    <row r="1" spans="1:8" ht="16.5" thickBot="1" x14ac:dyDescent="0.3">
      <c r="A1" s="269" t="s">
        <v>135</v>
      </c>
      <c r="B1" s="270"/>
      <c r="C1" s="270"/>
      <c r="D1" s="270"/>
      <c r="E1" s="271"/>
    </row>
    <row r="2" spans="1:8" s="103" customFormat="1" ht="16.5" thickBot="1" x14ac:dyDescent="0.3">
      <c r="A2" s="153" t="s">
        <v>111</v>
      </c>
      <c r="B2" s="10" t="s">
        <v>371</v>
      </c>
      <c r="C2" s="10" t="s">
        <v>136</v>
      </c>
      <c r="D2" s="10" t="s">
        <v>137</v>
      </c>
      <c r="E2" s="154" t="s">
        <v>12</v>
      </c>
    </row>
    <row r="3" spans="1:8" ht="15.75" x14ac:dyDescent="0.25">
      <c r="A3" s="7" t="s">
        <v>349</v>
      </c>
      <c r="B3" s="8">
        <v>155.59</v>
      </c>
      <c r="C3" s="5">
        <v>1</v>
      </c>
      <c r="D3" s="5">
        <v>30</v>
      </c>
      <c r="E3" s="9">
        <f>B3*C3*D3</f>
        <v>4667.7</v>
      </c>
    </row>
    <row r="4" spans="1:8" x14ac:dyDescent="0.25">
      <c r="A4" s="155"/>
      <c r="B4" s="155"/>
      <c r="C4" s="155"/>
      <c r="D4" s="155"/>
      <c r="E4" s="155"/>
      <c r="F4" s="155"/>
    </row>
    <row r="5" spans="1:8" ht="16.5" thickBot="1" x14ac:dyDescent="0.3">
      <c r="A5" s="275" t="s">
        <v>14</v>
      </c>
      <c r="B5" s="276"/>
      <c r="C5" s="276"/>
      <c r="D5" s="276"/>
      <c r="E5" s="277"/>
    </row>
    <row r="6" spans="1:8" ht="32.25" thickBot="1" x14ac:dyDescent="0.3">
      <c r="A6" s="2" t="s">
        <v>111</v>
      </c>
      <c r="B6" s="3" t="s">
        <v>10</v>
      </c>
      <c r="C6" s="3" t="s">
        <v>11</v>
      </c>
      <c r="D6" s="10" t="s">
        <v>13</v>
      </c>
      <c r="E6" s="4" t="s">
        <v>12</v>
      </c>
    </row>
    <row r="7" spans="1:8" ht="15.75" x14ac:dyDescent="0.25">
      <c r="A7" s="7"/>
      <c r="B7" s="8">
        <v>4.2</v>
      </c>
      <c r="C7" s="5">
        <v>2</v>
      </c>
      <c r="D7" s="5">
        <v>22</v>
      </c>
      <c r="E7" s="9">
        <f t="shared" ref="E7" si="0">B7*C7*D7</f>
        <v>184.8</v>
      </c>
    </row>
    <row r="8" spans="1:8" ht="15.75" thickBot="1" x14ac:dyDescent="0.3">
      <c r="A8" s="46"/>
      <c r="B8" s="47"/>
      <c r="C8" s="47"/>
      <c r="D8" s="47"/>
      <c r="E8" s="48"/>
    </row>
    <row r="9" spans="1:8" ht="16.5" thickBot="1" x14ac:dyDescent="0.3">
      <c r="A9" s="269" t="s">
        <v>18</v>
      </c>
      <c r="B9" s="270"/>
      <c r="C9" s="270"/>
      <c r="D9" s="270"/>
      <c r="E9" s="271"/>
    </row>
    <row r="10" spans="1:8" ht="15.75" x14ac:dyDescent="0.25">
      <c r="A10" s="2" t="s">
        <v>2</v>
      </c>
      <c r="B10" s="3" t="s">
        <v>0</v>
      </c>
      <c r="C10" s="3" t="s">
        <v>15</v>
      </c>
      <c r="D10" s="3" t="s">
        <v>1</v>
      </c>
      <c r="E10" s="4" t="s">
        <v>16</v>
      </c>
    </row>
    <row r="11" spans="1:8" ht="15.75" x14ac:dyDescent="0.25">
      <c r="A11" s="159" t="s">
        <v>148</v>
      </c>
      <c r="B11" s="160">
        <f>'Planilha de Custos Téc. Campo'!C10</f>
        <v>1912.33</v>
      </c>
      <c r="C11" s="161">
        <v>1</v>
      </c>
      <c r="D11" s="161">
        <v>0.06</v>
      </c>
      <c r="E11" s="162">
        <f t="shared" ref="E11:E13" si="1">B11*C11*D11</f>
        <v>114.73979999999999</v>
      </c>
    </row>
    <row r="12" spans="1:8" ht="15.75" x14ac:dyDescent="0.25">
      <c r="A12" s="126" t="s">
        <v>149</v>
      </c>
      <c r="B12" s="163">
        <f>'Operador de Logística'!C10</f>
        <v>1372.51</v>
      </c>
      <c r="C12" s="161">
        <v>1</v>
      </c>
      <c r="D12" s="161">
        <v>0.06</v>
      </c>
      <c r="E12" s="162">
        <f t="shared" si="1"/>
        <v>82.3506</v>
      </c>
    </row>
    <row r="13" spans="1:8" ht="16.5" thickBot="1" x14ac:dyDescent="0.3">
      <c r="A13" s="86" t="s">
        <v>381</v>
      </c>
      <c r="B13" s="44">
        <f>'Supervisor de Op.'!C17</f>
        <v>2951</v>
      </c>
      <c r="C13" s="161">
        <v>1</v>
      </c>
      <c r="D13" s="161">
        <v>0.06</v>
      </c>
      <c r="E13" s="162">
        <f t="shared" si="1"/>
        <v>177.06</v>
      </c>
    </row>
    <row r="14" spans="1:8" ht="16.5" thickBot="1" x14ac:dyDescent="0.3">
      <c r="A14" s="278" t="s">
        <v>20</v>
      </c>
      <c r="B14" s="279"/>
      <c r="C14" s="279"/>
      <c r="D14" s="280"/>
      <c r="E14" s="48"/>
    </row>
    <row r="15" spans="1:8" ht="16.5" thickBot="1" x14ac:dyDescent="0.3">
      <c r="A15" s="2" t="s">
        <v>2</v>
      </c>
      <c r="B15" s="3" t="s">
        <v>12</v>
      </c>
      <c r="C15" s="3" t="s">
        <v>17</v>
      </c>
      <c r="D15" s="4" t="s">
        <v>19</v>
      </c>
      <c r="E15" s="48"/>
    </row>
    <row r="16" spans="1:8" ht="16.5" thickBot="1" x14ac:dyDescent="0.3">
      <c r="A16" s="159" t="s">
        <v>148</v>
      </c>
      <c r="B16" s="160">
        <f>E7</f>
        <v>184.8</v>
      </c>
      <c r="C16" s="160">
        <f>E11</f>
        <v>114.73979999999999</v>
      </c>
      <c r="D16" s="162">
        <f>B16-C16</f>
        <v>70.060200000000023</v>
      </c>
      <c r="E16" s="49"/>
      <c r="H16" s="50"/>
    </row>
    <row r="17" spans="1:4" ht="15.75" x14ac:dyDescent="0.25">
      <c r="A17" s="126" t="s">
        <v>149</v>
      </c>
      <c r="B17" s="160">
        <f>E7</f>
        <v>184.8</v>
      </c>
      <c r="C17" s="160">
        <f>E12</f>
        <v>82.3506</v>
      </c>
      <c r="D17" s="162">
        <f>B17-C17</f>
        <v>102.44940000000001</v>
      </c>
    </row>
    <row r="18" spans="1:4" ht="16.5" thickBot="1" x14ac:dyDescent="0.3">
      <c r="A18" s="86" t="s">
        <v>381</v>
      </c>
      <c r="B18" s="160">
        <f>E7</f>
        <v>184.8</v>
      </c>
      <c r="C18" s="164">
        <f>E13</f>
        <v>177.06</v>
      </c>
      <c r="D18" s="162">
        <f>B18-C18</f>
        <v>7.7400000000000091</v>
      </c>
    </row>
    <row r="19" spans="1:4" ht="16.5" thickBot="1" x14ac:dyDescent="0.3">
      <c r="A19" s="278" t="s">
        <v>21</v>
      </c>
      <c r="B19" s="279"/>
      <c r="C19" s="279"/>
      <c r="D19" s="280"/>
    </row>
    <row r="20" spans="1:4" ht="16.5" thickBot="1" x14ac:dyDescent="0.3">
      <c r="A20" s="39" t="s">
        <v>2</v>
      </c>
      <c r="B20" s="40" t="s">
        <v>22</v>
      </c>
      <c r="C20" s="1" t="s">
        <v>13</v>
      </c>
      <c r="D20" s="41" t="s">
        <v>3</v>
      </c>
    </row>
    <row r="21" spans="1:4" ht="16.5" thickBot="1" x14ac:dyDescent="0.3">
      <c r="A21" s="7" t="s">
        <v>372</v>
      </c>
      <c r="B21" s="8">
        <v>16.96</v>
      </c>
      <c r="C21" s="5">
        <v>22</v>
      </c>
      <c r="D21" s="9">
        <f>B21*C21</f>
        <v>373.12</v>
      </c>
    </row>
    <row r="22" spans="1:4" ht="16.5" thickBot="1" x14ac:dyDescent="0.3">
      <c r="A22" s="81" t="s">
        <v>380</v>
      </c>
      <c r="B22" s="82">
        <v>21</v>
      </c>
      <c r="C22" s="5">
        <v>22</v>
      </c>
      <c r="D22" s="9">
        <f>B22*C22</f>
        <v>462</v>
      </c>
    </row>
    <row r="23" spans="1:4" ht="16.5" thickBot="1" x14ac:dyDescent="0.3">
      <c r="A23" s="81" t="s">
        <v>425</v>
      </c>
      <c r="B23" s="82">
        <v>28.05</v>
      </c>
      <c r="C23" s="5">
        <v>22</v>
      </c>
      <c r="D23" s="9">
        <f>B23*C23</f>
        <v>617.1</v>
      </c>
    </row>
    <row r="24" spans="1:4" ht="16.5" thickBot="1" x14ac:dyDescent="0.3">
      <c r="A24" s="278" t="s">
        <v>132</v>
      </c>
      <c r="B24" s="279"/>
      <c r="C24" s="279"/>
      <c r="D24" s="280"/>
    </row>
    <row r="25" spans="1:4" ht="16.5" thickBot="1" x14ac:dyDescent="0.3">
      <c r="A25" s="39" t="s">
        <v>2</v>
      </c>
      <c r="B25" s="40" t="s">
        <v>133</v>
      </c>
      <c r="C25" s="1" t="s">
        <v>13</v>
      </c>
      <c r="D25" s="41" t="s">
        <v>3</v>
      </c>
    </row>
    <row r="26" spans="1:4" ht="15.75" x14ac:dyDescent="0.25">
      <c r="A26" s="7" t="s">
        <v>372</v>
      </c>
      <c r="B26" s="8">
        <v>124.37</v>
      </c>
      <c r="C26" s="5"/>
      <c r="D26" s="9">
        <f>B26</f>
        <v>124.37</v>
      </c>
    </row>
    <row r="27" spans="1:4" ht="15.75" thickBot="1" x14ac:dyDescent="0.3"/>
    <row r="28" spans="1:4" ht="16.5" thickBot="1" x14ac:dyDescent="0.3">
      <c r="A28" s="272" t="s">
        <v>29</v>
      </c>
      <c r="B28" s="273"/>
      <c r="C28" s="273"/>
      <c r="D28" s="274"/>
    </row>
    <row r="29" spans="1:4" ht="16.5" thickBot="1" x14ac:dyDescent="0.3">
      <c r="A29" s="11" t="s">
        <v>30</v>
      </c>
      <c r="B29" s="12" t="s">
        <v>31</v>
      </c>
      <c r="C29" s="12" t="s">
        <v>32</v>
      </c>
      <c r="D29" s="38" t="s">
        <v>3</v>
      </c>
    </row>
    <row r="30" spans="1:4" ht="16.5" thickBot="1" x14ac:dyDescent="0.3">
      <c r="A30" s="13" t="s">
        <v>33</v>
      </c>
      <c r="B30" s="14">
        <v>2</v>
      </c>
      <c r="C30" s="15">
        <f>((47.9+65+29.9)/3)*2</f>
        <v>95.2</v>
      </c>
      <c r="D30" s="16">
        <f>C30*B30</f>
        <v>190.4</v>
      </c>
    </row>
    <row r="31" spans="1:4" ht="16.5" thickBot="1" x14ac:dyDescent="0.3">
      <c r="A31" s="17" t="s">
        <v>34</v>
      </c>
      <c r="B31" s="18">
        <v>4</v>
      </c>
      <c r="C31" s="15">
        <f>((46.9+98+56.9)/3)*2</f>
        <v>134.53333333333333</v>
      </c>
      <c r="D31" s="16">
        <f t="shared" ref="D31:D35" si="2">C31*B31</f>
        <v>538.13333333333333</v>
      </c>
    </row>
    <row r="32" spans="1:4" ht="16.5" thickBot="1" x14ac:dyDescent="0.3">
      <c r="A32" s="17" t="s">
        <v>35</v>
      </c>
      <c r="B32" s="18">
        <v>1</v>
      </c>
      <c r="C32" s="15">
        <f>((69.9+80.99+89.99)/3)*2</f>
        <v>160.58666666666667</v>
      </c>
      <c r="D32" s="16">
        <f t="shared" si="2"/>
        <v>160.58666666666667</v>
      </c>
    </row>
    <row r="33" spans="1:10" ht="16.5" thickBot="1" x14ac:dyDescent="0.3">
      <c r="A33" s="17" t="s">
        <v>311</v>
      </c>
      <c r="B33" s="18">
        <v>3</v>
      </c>
      <c r="C33" s="15">
        <f>(5.5)*2</f>
        <v>11</v>
      </c>
      <c r="D33" s="16">
        <f t="shared" si="2"/>
        <v>33</v>
      </c>
    </row>
    <row r="34" spans="1:10" ht="16.5" thickBot="1" x14ac:dyDescent="0.3">
      <c r="A34" s="17" t="s">
        <v>312</v>
      </c>
      <c r="B34" s="18">
        <v>1</v>
      </c>
      <c r="C34" s="15">
        <f>((88.9+95+89.9)/3)*1</f>
        <v>91.266666666666666</v>
      </c>
      <c r="D34" s="16">
        <f t="shared" si="2"/>
        <v>91.266666666666666</v>
      </c>
    </row>
    <row r="35" spans="1:10" ht="16.5" thickBot="1" x14ac:dyDescent="0.3">
      <c r="A35" s="17" t="s">
        <v>123</v>
      </c>
      <c r="B35" s="18">
        <v>1</v>
      </c>
      <c r="C35" s="15">
        <f>(15)*2</f>
        <v>30</v>
      </c>
      <c r="D35" s="16">
        <f t="shared" si="2"/>
        <v>30</v>
      </c>
    </row>
    <row r="36" spans="1:10" ht="16.5" thickBot="1" x14ac:dyDescent="0.3">
      <c r="A36" s="272" t="s">
        <v>36</v>
      </c>
      <c r="B36" s="273"/>
      <c r="C36" s="274"/>
      <c r="D36" s="19"/>
    </row>
    <row r="37" spans="1:10" ht="16.5" thickBot="1" x14ac:dyDescent="0.3">
      <c r="A37" s="272" t="s">
        <v>37</v>
      </c>
      <c r="B37" s="273"/>
      <c r="C37" s="274"/>
      <c r="D37" s="21"/>
    </row>
    <row r="38" spans="1:10" ht="16.5" thickBot="1" x14ac:dyDescent="0.3">
      <c r="A38" s="22" t="s">
        <v>2</v>
      </c>
      <c r="B38" s="23" t="s">
        <v>23</v>
      </c>
      <c r="C38" s="24" t="s">
        <v>38</v>
      </c>
      <c r="D38" s="21"/>
    </row>
    <row r="39" spans="1:10" ht="15.75" x14ac:dyDescent="0.25">
      <c r="A39" s="7"/>
      <c r="B39" s="25">
        <f>SUM(D30:D35)</f>
        <v>1043.3866666666668</v>
      </c>
      <c r="C39" s="26">
        <f>B39/12</f>
        <v>86.948888888888902</v>
      </c>
      <c r="D39" s="20"/>
    </row>
    <row r="40" spans="1:10" ht="15.75" x14ac:dyDescent="0.25">
      <c r="A40" s="81"/>
      <c r="B40" s="131"/>
      <c r="C40" s="132"/>
      <c r="D40" s="20"/>
    </row>
    <row r="41" spans="1:10" x14ac:dyDescent="0.25">
      <c r="A41" s="235" t="s">
        <v>318</v>
      </c>
      <c r="B41" s="235"/>
      <c r="C41" s="235"/>
      <c r="D41" s="235"/>
      <c r="E41" s="235"/>
      <c r="F41" s="235"/>
      <c r="G41" s="235"/>
      <c r="H41" s="235"/>
      <c r="I41" s="235"/>
      <c r="J41" s="235"/>
    </row>
    <row r="42" spans="1:10" ht="45" x14ac:dyDescent="0.25">
      <c r="A42" s="109" t="s">
        <v>30</v>
      </c>
      <c r="B42" s="109" t="s">
        <v>253</v>
      </c>
      <c r="C42" s="109" t="s">
        <v>100</v>
      </c>
      <c r="D42" s="109" t="s">
        <v>254</v>
      </c>
      <c r="E42" s="109" t="s">
        <v>255</v>
      </c>
      <c r="F42" s="109" t="s">
        <v>256</v>
      </c>
      <c r="G42" s="109" t="s">
        <v>257</v>
      </c>
      <c r="H42" s="109" t="s">
        <v>258</v>
      </c>
      <c r="I42" s="109" t="s">
        <v>259</v>
      </c>
      <c r="J42" s="109" t="s">
        <v>260</v>
      </c>
    </row>
    <row r="43" spans="1:10" x14ac:dyDescent="0.25">
      <c r="A43" s="236" t="s">
        <v>261</v>
      </c>
      <c r="B43" s="236" t="s">
        <v>262</v>
      </c>
      <c r="C43" s="109" t="s">
        <v>263</v>
      </c>
      <c r="D43" s="109" t="s">
        <v>254</v>
      </c>
      <c r="E43" s="109">
        <v>63.13</v>
      </c>
      <c r="F43" s="109">
        <v>66.900000000000006</v>
      </c>
      <c r="G43" s="109">
        <v>74.709999999999994</v>
      </c>
      <c r="H43" s="109">
        <v>68.24666666666667</v>
      </c>
      <c r="I43" s="109">
        <v>1</v>
      </c>
      <c r="J43" s="109">
        <v>68.24666666666667</v>
      </c>
    </row>
    <row r="44" spans="1:10" x14ac:dyDescent="0.25">
      <c r="A44" s="236"/>
      <c r="B44" s="236"/>
      <c r="C44" s="109" t="s">
        <v>264</v>
      </c>
      <c r="D44" s="109" t="s">
        <v>254</v>
      </c>
      <c r="E44" s="109">
        <v>24.12</v>
      </c>
      <c r="F44" s="109">
        <v>20</v>
      </c>
      <c r="G44" s="109">
        <v>32.49</v>
      </c>
      <c r="H44" s="109">
        <v>25.536666666666672</v>
      </c>
      <c r="I44" s="109">
        <v>1</v>
      </c>
      <c r="J44" s="109">
        <v>25.536666666666672</v>
      </c>
    </row>
    <row r="45" spans="1:10" x14ac:dyDescent="0.25">
      <c r="A45" s="236"/>
      <c r="B45" s="236"/>
      <c r="C45" s="109" t="s">
        <v>265</v>
      </c>
      <c r="D45" s="109" t="s">
        <v>254</v>
      </c>
      <c r="E45" s="109">
        <v>13.24</v>
      </c>
      <c r="F45" s="109">
        <v>13.98</v>
      </c>
      <c r="G45" s="109">
        <v>19.66</v>
      </c>
      <c r="H45" s="109">
        <v>15.626666666666665</v>
      </c>
      <c r="I45" s="109">
        <v>1</v>
      </c>
      <c r="J45" s="109">
        <v>15.626666666666665</v>
      </c>
    </row>
    <row r="46" spans="1:10" x14ac:dyDescent="0.25">
      <c r="A46" s="236"/>
      <c r="B46" s="236"/>
      <c r="C46" s="109" t="s">
        <v>266</v>
      </c>
      <c r="D46" s="109" t="s">
        <v>254</v>
      </c>
      <c r="E46" s="109">
        <v>38</v>
      </c>
      <c r="F46" s="109">
        <v>29.99</v>
      </c>
      <c r="G46" s="109">
        <v>29.95</v>
      </c>
      <c r="H46" s="109">
        <v>32.646666666666668</v>
      </c>
      <c r="I46" s="109">
        <v>1</v>
      </c>
      <c r="J46" s="109">
        <v>32.646666666666668</v>
      </c>
    </row>
    <row r="47" spans="1:10" x14ac:dyDescent="0.25">
      <c r="A47" s="236"/>
      <c r="B47" s="236"/>
      <c r="C47" s="109" t="s">
        <v>267</v>
      </c>
      <c r="D47" s="109" t="s">
        <v>254</v>
      </c>
      <c r="E47" s="109">
        <v>32.99</v>
      </c>
      <c r="F47" s="109">
        <v>39.99</v>
      </c>
      <c r="G47" s="109">
        <v>44.6</v>
      </c>
      <c r="H47" s="109">
        <v>39.193333333333335</v>
      </c>
      <c r="I47" s="109">
        <v>1</v>
      </c>
      <c r="J47" s="109">
        <v>39.193333333333335</v>
      </c>
    </row>
    <row r="48" spans="1:10" x14ac:dyDescent="0.25">
      <c r="A48" s="236"/>
      <c r="B48" s="236"/>
      <c r="C48" s="109" t="s">
        <v>268</v>
      </c>
      <c r="D48" s="109" t="s">
        <v>254</v>
      </c>
      <c r="E48" s="109">
        <v>3611.2</v>
      </c>
      <c r="F48" s="109">
        <v>3462.29</v>
      </c>
      <c r="G48" s="109">
        <v>4303.95</v>
      </c>
      <c r="H48" s="109">
        <v>3792.4799999999996</v>
      </c>
      <c r="I48" s="109">
        <v>1</v>
      </c>
      <c r="J48" s="109">
        <v>3792.4799999999996</v>
      </c>
    </row>
    <row r="49" spans="1:10" x14ac:dyDescent="0.25">
      <c r="A49" s="236"/>
      <c r="B49" s="236"/>
      <c r="C49" s="109" t="s">
        <v>269</v>
      </c>
      <c r="D49" s="109" t="s">
        <v>254</v>
      </c>
      <c r="E49" s="109">
        <v>113.41</v>
      </c>
      <c r="F49" s="109">
        <v>55.75</v>
      </c>
      <c r="G49" s="109">
        <v>62.93</v>
      </c>
      <c r="H49" s="109">
        <v>77.36333333333333</v>
      </c>
      <c r="I49" s="109">
        <v>1</v>
      </c>
      <c r="J49" s="109">
        <v>77.36333333333333</v>
      </c>
    </row>
    <row r="50" spans="1:10" x14ac:dyDescent="0.25">
      <c r="A50" s="236"/>
      <c r="B50" s="236"/>
      <c r="C50" s="109" t="s">
        <v>270</v>
      </c>
      <c r="D50" s="109" t="s">
        <v>254</v>
      </c>
      <c r="E50" s="109">
        <v>67.69</v>
      </c>
      <c r="F50" s="109">
        <v>36.9</v>
      </c>
      <c r="G50" s="109">
        <v>38.979999999999997</v>
      </c>
      <c r="H50" s="109">
        <v>47.856666666666662</v>
      </c>
      <c r="I50" s="109">
        <v>1</v>
      </c>
      <c r="J50" s="109">
        <v>47.856666666666662</v>
      </c>
    </row>
    <row r="51" spans="1:10" x14ac:dyDescent="0.25">
      <c r="A51" s="236"/>
      <c r="B51" s="236"/>
      <c r="C51" s="109" t="s">
        <v>271</v>
      </c>
      <c r="D51" s="109" t="s">
        <v>254</v>
      </c>
      <c r="E51" s="109">
        <v>129.9</v>
      </c>
      <c r="F51" s="109">
        <v>78.55</v>
      </c>
      <c r="G51" s="109">
        <v>67.900000000000006</v>
      </c>
      <c r="H51" s="109">
        <v>92.116666666666674</v>
      </c>
      <c r="I51" s="109">
        <v>1</v>
      </c>
      <c r="J51" s="109">
        <v>92.116666666666674</v>
      </c>
    </row>
    <row r="52" spans="1:10" x14ac:dyDescent="0.25">
      <c r="A52" s="236"/>
      <c r="B52" s="236"/>
      <c r="C52" s="109" t="s">
        <v>272</v>
      </c>
      <c r="D52" s="109" t="s">
        <v>254</v>
      </c>
      <c r="E52" s="109">
        <v>57.87</v>
      </c>
      <c r="F52" s="109">
        <v>100</v>
      </c>
      <c r="G52" s="109">
        <v>37.799999999999997</v>
      </c>
      <c r="H52" s="109">
        <v>65.223333333333343</v>
      </c>
      <c r="I52" s="109">
        <v>1</v>
      </c>
      <c r="J52" s="109">
        <v>65.223333333333343</v>
      </c>
    </row>
    <row r="53" spans="1:10" x14ac:dyDescent="0.25">
      <c r="A53" s="236"/>
      <c r="B53" s="236"/>
      <c r="C53" s="109" t="s">
        <v>273</v>
      </c>
      <c r="D53" s="109" t="s">
        <v>254</v>
      </c>
      <c r="E53" s="109">
        <v>94.01</v>
      </c>
      <c r="F53" s="109">
        <v>77.900000000000006</v>
      </c>
      <c r="G53" s="109">
        <v>118.21</v>
      </c>
      <c r="H53" s="109">
        <v>96.706666666666663</v>
      </c>
      <c r="I53" s="109">
        <v>1</v>
      </c>
      <c r="J53" s="109">
        <v>96.706666666666663</v>
      </c>
    </row>
    <row r="54" spans="1:10" x14ac:dyDescent="0.25">
      <c r="A54" s="236"/>
      <c r="B54" s="236"/>
      <c r="C54" s="109" t="s">
        <v>274</v>
      </c>
      <c r="D54" s="109" t="s">
        <v>254</v>
      </c>
      <c r="E54" s="109">
        <v>13.33</v>
      </c>
      <c r="F54" s="109">
        <v>12.91</v>
      </c>
      <c r="G54" s="109">
        <v>80</v>
      </c>
      <c r="H54" s="109">
        <v>35.413333333333334</v>
      </c>
      <c r="I54" s="109">
        <v>1</v>
      </c>
      <c r="J54" s="109">
        <v>35.413333333333334</v>
      </c>
    </row>
    <row r="55" spans="1:10" x14ac:dyDescent="0.25">
      <c r="A55" s="236"/>
      <c r="B55" s="236"/>
      <c r="C55" s="109" t="s">
        <v>275</v>
      </c>
      <c r="D55" s="109" t="s">
        <v>254</v>
      </c>
      <c r="E55" s="109">
        <v>194.59</v>
      </c>
      <c r="F55" s="109">
        <v>179.9</v>
      </c>
      <c r="G55" s="109">
        <v>189.9</v>
      </c>
      <c r="H55" s="109">
        <v>188.13</v>
      </c>
      <c r="I55" s="109">
        <v>1</v>
      </c>
      <c r="J55" s="109">
        <v>188.13</v>
      </c>
    </row>
    <row r="56" spans="1:10" x14ac:dyDescent="0.25">
      <c r="A56" s="236"/>
      <c r="B56" s="236"/>
      <c r="C56" s="109" t="s">
        <v>276</v>
      </c>
      <c r="D56" s="109" t="s">
        <v>254</v>
      </c>
      <c r="E56" s="109">
        <v>180</v>
      </c>
      <c r="F56" s="109">
        <v>255.01</v>
      </c>
      <c r="G56" s="109">
        <v>500</v>
      </c>
      <c r="H56" s="109">
        <v>311.67</v>
      </c>
      <c r="I56" s="109">
        <v>1</v>
      </c>
      <c r="J56" s="109">
        <v>311.67</v>
      </c>
    </row>
    <row r="57" spans="1:10" x14ac:dyDescent="0.25">
      <c r="A57" s="236"/>
      <c r="B57" s="236"/>
      <c r="C57" s="109" t="s">
        <v>277</v>
      </c>
      <c r="D57" s="109" t="s">
        <v>254</v>
      </c>
      <c r="E57" s="109">
        <v>399</v>
      </c>
      <c r="F57" s="109">
        <v>559.89</v>
      </c>
      <c r="G57" s="109">
        <v>489</v>
      </c>
      <c r="H57" s="109">
        <v>482.62999999999994</v>
      </c>
      <c r="I57" s="109">
        <v>1</v>
      </c>
      <c r="J57" s="109">
        <v>482.62999999999994</v>
      </c>
    </row>
    <row r="58" spans="1:10" x14ac:dyDescent="0.25">
      <c r="A58" s="236"/>
      <c r="B58" s="236"/>
      <c r="C58" s="109" t="s">
        <v>278</v>
      </c>
      <c r="D58" s="109" t="s">
        <v>254</v>
      </c>
      <c r="E58" s="109">
        <v>2419</v>
      </c>
      <c r="F58" s="109">
        <v>2299</v>
      </c>
      <c r="G58" s="109">
        <v>1999</v>
      </c>
      <c r="H58" s="109">
        <v>2239</v>
      </c>
      <c r="I58" s="109">
        <v>1</v>
      </c>
      <c r="J58" s="109">
        <v>2239</v>
      </c>
    </row>
    <row r="59" spans="1:10" x14ac:dyDescent="0.25">
      <c r="A59" s="236"/>
      <c r="B59" s="236"/>
      <c r="C59" s="109" t="s">
        <v>279</v>
      </c>
      <c r="D59" s="109" t="s">
        <v>254</v>
      </c>
      <c r="E59" s="109">
        <v>399</v>
      </c>
      <c r="F59" s="109">
        <v>499</v>
      </c>
      <c r="G59" s="109">
        <v>266.66000000000003</v>
      </c>
      <c r="H59" s="109">
        <v>388.22</v>
      </c>
      <c r="I59" s="109">
        <v>1</v>
      </c>
      <c r="J59" s="109">
        <v>388.22</v>
      </c>
    </row>
    <row r="60" spans="1:10" x14ac:dyDescent="0.25">
      <c r="A60" s="236"/>
      <c r="B60" s="236"/>
      <c r="C60" s="109" t="s">
        <v>280</v>
      </c>
      <c r="D60" s="109" t="s">
        <v>254</v>
      </c>
      <c r="E60" s="109">
        <v>37.9</v>
      </c>
      <c r="F60" s="109">
        <v>39.9</v>
      </c>
      <c r="G60" s="109">
        <v>29.5</v>
      </c>
      <c r="H60" s="109">
        <v>35.766666666666666</v>
      </c>
      <c r="I60" s="109">
        <v>1</v>
      </c>
      <c r="J60" s="109">
        <v>35.766666666666666</v>
      </c>
    </row>
    <row r="61" spans="1:10" x14ac:dyDescent="0.25">
      <c r="A61" s="236"/>
      <c r="B61" s="236"/>
      <c r="C61" s="109" t="s">
        <v>281</v>
      </c>
      <c r="D61" s="109" t="s">
        <v>254</v>
      </c>
      <c r="E61" s="109">
        <v>33.229999999999997</v>
      </c>
      <c r="F61" s="109">
        <v>41.91</v>
      </c>
      <c r="G61" s="109">
        <v>36</v>
      </c>
      <c r="H61" s="109">
        <v>37.04666666666666</v>
      </c>
      <c r="I61" s="109">
        <v>1</v>
      </c>
      <c r="J61" s="109">
        <v>37.04666666666666</v>
      </c>
    </row>
    <row r="62" spans="1:10" x14ac:dyDescent="0.25">
      <c r="A62" s="236"/>
      <c r="B62" s="236"/>
      <c r="C62" s="109" t="s">
        <v>282</v>
      </c>
      <c r="D62" s="109" t="s">
        <v>254</v>
      </c>
      <c r="E62" s="109">
        <v>24.33</v>
      </c>
      <c r="F62" s="109">
        <v>38.49</v>
      </c>
      <c r="G62" s="109">
        <v>23.89</v>
      </c>
      <c r="H62" s="109">
        <v>28.903333333333336</v>
      </c>
      <c r="I62" s="109">
        <v>1</v>
      </c>
      <c r="J62" s="109">
        <v>28.903333333333336</v>
      </c>
    </row>
    <row r="63" spans="1:10" x14ac:dyDescent="0.25">
      <c r="A63" s="236"/>
      <c r="B63" s="236"/>
      <c r="C63" s="109" t="s">
        <v>283</v>
      </c>
      <c r="D63" s="109" t="s">
        <v>254</v>
      </c>
      <c r="E63" s="109">
        <v>59</v>
      </c>
      <c r="F63" s="109">
        <v>39</v>
      </c>
      <c r="G63" s="109">
        <v>39.99</v>
      </c>
      <c r="H63" s="109">
        <v>45.99666666666667</v>
      </c>
      <c r="I63" s="109">
        <v>1</v>
      </c>
      <c r="J63" s="109">
        <v>45.99666666666667</v>
      </c>
    </row>
    <row r="64" spans="1:10" x14ac:dyDescent="0.25">
      <c r="A64" s="236"/>
      <c r="B64" s="236"/>
      <c r="C64" s="109" t="s">
        <v>284</v>
      </c>
      <c r="D64" s="109" t="s">
        <v>254</v>
      </c>
      <c r="E64" s="109">
        <v>50</v>
      </c>
      <c r="F64" s="109">
        <v>100</v>
      </c>
      <c r="G64" s="109">
        <v>33.72</v>
      </c>
      <c r="H64" s="109">
        <v>61.24</v>
      </c>
      <c r="I64" s="109">
        <v>1</v>
      </c>
      <c r="J64" s="109">
        <v>61.24</v>
      </c>
    </row>
    <row r="65" spans="1:10" x14ac:dyDescent="0.25">
      <c r="A65" s="236"/>
      <c r="B65" s="236"/>
      <c r="C65" s="109" t="s">
        <v>285</v>
      </c>
      <c r="D65" s="109" t="s">
        <v>254</v>
      </c>
      <c r="E65" s="109">
        <v>27.62</v>
      </c>
      <c r="F65" s="109">
        <v>20</v>
      </c>
      <c r="G65" s="109">
        <v>39.229999999999997</v>
      </c>
      <c r="H65" s="109">
        <v>28.95</v>
      </c>
      <c r="I65" s="109">
        <v>1</v>
      </c>
      <c r="J65" s="109">
        <v>28.95</v>
      </c>
    </row>
    <row r="66" spans="1:10" x14ac:dyDescent="0.25">
      <c r="A66" s="236"/>
      <c r="B66" s="236"/>
      <c r="C66" s="109" t="s">
        <v>286</v>
      </c>
      <c r="D66" s="109" t="s">
        <v>254</v>
      </c>
      <c r="E66" s="109">
        <v>100</v>
      </c>
      <c r="F66" s="109">
        <v>157</v>
      </c>
      <c r="G66" s="109">
        <v>165</v>
      </c>
      <c r="H66" s="109">
        <v>140.66666666666666</v>
      </c>
      <c r="I66" s="109">
        <v>1</v>
      </c>
      <c r="J66" s="109">
        <v>140.66666666666666</v>
      </c>
    </row>
    <row r="67" spans="1:10" x14ac:dyDescent="0.25">
      <c r="A67" s="236"/>
      <c r="B67" s="236"/>
      <c r="C67" s="109" t="s">
        <v>287</v>
      </c>
      <c r="D67" s="109" t="s">
        <v>254</v>
      </c>
      <c r="E67" s="109">
        <v>84.9</v>
      </c>
      <c r="F67" s="109">
        <v>87</v>
      </c>
      <c r="G67" s="109">
        <v>85</v>
      </c>
      <c r="H67" s="109">
        <v>85.633333333333326</v>
      </c>
      <c r="I67" s="109">
        <v>1</v>
      </c>
      <c r="J67" s="109">
        <v>85.633333333333326</v>
      </c>
    </row>
    <row r="68" spans="1:10" ht="30" x14ac:dyDescent="0.25">
      <c r="A68" s="236"/>
      <c r="B68" s="236"/>
      <c r="C68" s="109" t="s">
        <v>350</v>
      </c>
      <c r="D68" s="109" t="s">
        <v>254</v>
      </c>
      <c r="E68" s="109">
        <v>2299.08</v>
      </c>
      <c r="F68" s="109">
        <v>2249</v>
      </c>
      <c r="G68" s="109">
        <v>1869.99</v>
      </c>
      <c r="H68" s="109">
        <v>2139.3566666666666</v>
      </c>
      <c r="I68" s="109">
        <v>1</v>
      </c>
      <c r="J68" s="109">
        <f>H68</f>
        <v>2139.3566666666666</v>
      </c>
    </row>
    <row r="69" spans="1:10" x14ac:dyDescent="0.25">
      <c r="A69" s="236"/>
      <c r="B69" s="236"/>
      <c r="C69" s="109" t="s">
        <v>288</v>
      </c>
      <c r="D69" s="109" t="s">
        <v>254</v>
      </c>
      <c r="E69" s="109">
        <v>40.119999999999997</v>
      </c>
      <c r="F69" s="109">
        <v>31.9</v>
      </c>
      <c r="G69" s="109">
        <v>27.62</v>
      </c>
      <c r="H69" s="109">
        <v>33.213333333333331</v>
      </c>
      <c r="I69" s="109">
        <v>1</v>
      </c>
      <c r="J69" s="109">
        <v>33.213333333333331</v>
      </c>
    </row>
    <row r="70" spans="1:10" x14ac:dyDescent="0.25">
      <c r="A70" s="236"/>
      <c r="B70" s="236"/>
      <c r="C70" s="109" t="s">
        <v>289</v>
      </c>
      <c r="D70" s="109" t="s">
        <v>254</v>
      </c>
      <c r="E70" s="109">
        <v>190</v>
      </c>
      <c r="F70" s="109">
        <v>155</v>
      </c>
      <c r="G70" s="109">
        <v>230</v>
      </c>
      <c r="H70" s="109">
        <v>191.66666666666666</v>
      </c>
      <c r="I70" s="109">
        <v>1</v>
      </c>
      <c r="J70" s="109">
        <v>191.66666666666666</v>
      </c>
    </row>
    <row r="71" spans="1:10" x14ac:dyDescent="0.25">
      <c r="A71" s="236"/>
      <c r="B71" s="236"/>
      <c r="C71" s="109" t="s">
        <v>290</v>
      </c>
      <c r="D71" s="109" t="s">
        <v>254</v>
      </c>
      <c r="E71" s="109">
        <v>2300</v>
      </c>
      <c r="F71" s="109">
        <v>850</v>
      </c>
      <c r="G71" s="109">
        <v>2295.92</v>
      </c>
      <c r="H71" s="109">
        <v>1815.3066666666666</v>
      </c>
      <c r="I71" s="109">
        <v>1</v>
      </c>
      <c r="J71" s="109">
        <v>1815.3066666666666</v>
      </c>
    </row>
    <row r="72" spans="1:10" x14ac:dyDescent="0.25">
      <c r="A72" s="236"/>
      <c r="B72" s="236"/>
      <c r="C72" s="109" t="s">
        <v>291</v>
      </c>
      <c r="D72" s="109" t="s">
        <v>292</v>
      </c>
      <c r="E72" s="109">
        <v>114.74</v>
      </c>
      <c r="F72" s="109">
        <v>128.69999999999999</v>
      </c>
      <c r="G72" s="109">
        <v>179.9</v>
      </c>
      <c r="H72" s="109">
        <v>141.11333333333334</v>
      </c>
      <c r="I72" s="109">
        <v>1</v>
      </c>
      <c r="J72" s="109">
        <v>141.11333333333334</v>
      </c>
    </row>
    <row r="73" spans="1:10" x14ac:dyDescent="0.25">
      <c r="A73" s="236"/>
      <c r="B73" s="236"/>
      <c r="C73" s="109" t="s">
        <v>293</v>
      </c>
      <c r="D73" s="109" t="s">
        <v>254</v>
      </c>
      <c r="E73" s="109">
        <v>540.54999999999995</v>
      </c>
      <c r="F73" s="109">
        <v>399</v>
      </c>
      <c r="G73" s="109">
        <v>503.91</v>
      </c>
      <c r="H73" s="109">
        <v>481.15333333333336</v>
      </c>
      <c r="I73" s="109">
        <v>1</v>
      </c>
      <c r="J73" s="109">
        <v>481.15333333333336</v>
      </c>
    </row>
    <row r="74" spans="1:10" x14ac:dyDescent="0.25">
      <c r="A74" s="264" t="s">
        <v>5</v>
      </c>
      <c r="B74" s="265"/>
      <c r="C74" s="265"/>
      <c r="D74" s="265"/>
      <c r="E74" s="265"/>
      <c r="F74" s="265"/>
      <c r="G74" s="265"/>
      <c r="H74" s="265"/>
      <c r="I74" s="266"/>
      <c r="J74" s="109">
        <f>SUM(J43:J73)</f>
        <v>13264.073333333334</v>
      </c>
    </row>
    <row r="75" spans="1:10" ht="45" customHeight="1" x14ac:dyDescent="0.25">
      <c r="A75" s="264" t="s">
        <v>294</v>
      </c>
      <c r="B75" s="265"/>
      <c r="C75" s="265"/>
      <c r="D75" s="265"/>
      <c r="E75" s="265"/>
      <c r="F75" s="265"/>
      <c r="G75" s="265"/>
      <c r="H75" s="265"/>
      <c r="I75" s="266"/>
      <c r="J75" s="109">
        <f>J74/5</f>
        <v>2652.8146666666667</v>
      </c>
    </row>
    <row r="76" spans="1:10" ht="60" customHeight="1" x14ac:dyDescent="0.25">
      <c r="A76" s="264" t="s">
        <v>295</v>
      </c>
      <c r="B76" s="265"/>
      <c r="C76" s="265"/>
      <c r="D76" s="265"/>
      <c r="E76" s="265"/>
      <c r="F76" s="265"/>
      <c r="G76" s="265"/>
      <c r="H76" s="265"/>
      <c r="I76" s="266"/>
      <c r="J76" s="109">
        <f>J74/60</f>
        <v>221.06788888888889</v>
      </c>
    </row>
    <row r="78" spans="1:10" x14ac:dyDescent="0.25">
      <c r="A78" s="268" t="s">
        <v>308</v>
      </c>
      <c r="B78" s="268"/>
      <c r="C78" s="268"/>
      <c r="D78" s="268"/>
      <c r="E78" s="268"/>
      <c r="F78" s="268"/>
      <c r="G78" s="268"/>
      <c r="H78" s="268"/>
      <c r="I78" s="268"/>
      <c r="J78" s="268"/>
    </row>
    <row r="79" spans="1:10" x14ac:dyDescent="0.25">
      <c r="A79" s="120" t="s">
        <v>30</v>
      </c>
      <c r="B79" s="120" t="s">
        <v>253</v>
      </c>
      <c r="C79" s="120" t="s">
        <v>297</v>
      </c>
      <c r="D79" s="120" t="s">
        <v>254</v>
      </c>
      <c r="E79" s="120" t="s">
        <v>255</v>
      </c>
      <c r="F79" s="120" t="s">
        <v>256</v>
      </c>
      <c r="G79" s="120" t="s">
        <v>257</v>
      </c>
      <c r="H79" s="120" t="s">
        <v>258</v>
      </c>
      <c r="I79" s="120" t="s">
        <v>259</v>
      </c>
      <c r="J79" s="120" t="s">
        <v>260</v>
      </c>
    </row>
    <row r="80" spans="1:10" x14ac:dyDescent="0.25">
      <c r="A80" s="120" t="s">
        <v>261</v>
      </c>
      <c r="B80" s="120" t="s">
        <v>298</v>
      </c>
      <c r="C80" s="120" t="s">
        <v>299</v>
      </c>
      <c r="D80" s="120" t="s">
        <v>254</v>
      </c>
      <c r="E80" s="120">
        <v>15</v>
      </c>
      <c r="F80" s="120">
        <v>15</v>
      </c>
      <c r="G80" s="120">
        <v>14</v>
      </c>
      <c r="H80" s="120">
        <v>14.666666666666666</v>
      </c>
      <c r="I80" s="120">
        <v>1</v>
      </c>
      <c r="J80" s="120">
        <f>H80*I80</f>
        <v>14.666666666666666</v>
      </c>
    </row>
    <row r="81" spans="1:10" x14ac:dyDescent="0.25">
      <c r="A81" s="120"/>
      <c r="B81" s="120"/>
      <c r="C81" s="120" t="s">
        <v>300</v>
      </c>
      <c r="D81" s="120" t="s">
        <v>254</v>
      </c>
      <c r="E81" s="120">
        <v>8.14</v>
      </c>
      <c r="F81" s="120">
        <v>12.5</v>
      </c>
      <c r="G81" s="120">
        <v>55.06</v>
      </c>
      <c r="H81" s="120">
        <v>25.233333333333334</v>
      </c>
      <c r="I81" s="120">
        <v>1</v>
      </c>
      <c r="J81" s="120">
        <f t="shared" ref="J81:J88" si="3">H81*I81</f>
        <v>25.233333333333334</v>
      </c>
    </row>
    <row r="82" spans="1:10" x14ac:dyDescent="0.25">
      <c r="A82" s="120"/>
      <c r="B82" s="120"/>
      <c r="C82" s="120" t="s">
        <v>302</v>
      </c>
      <c r="D82" s="120" t="s">
        <v>254</v>
      </c>
      <c r="E82" s="120">
        <v>19.899999999999999</v>
      </c>
      <c r="F82" s="120">
        <v>8.9</v>
      </c>
      <c r="G82" s="120">
        <v>19.899999999999999</v>
      </c>
      <c r="H82" s="120">
        <v>16.233333333333331</v>
      </c>
      <c r="I82" s="120">
        <v>1</v>
      </c>
      <c r="J82" s="120">
        <f t="shared" si="3"/>
        <v>16.233333333333331</v>
      </c>
    </row>
    <row r="83" spans="1:10" x14ac:dyDescent="0.25">
      <c r="A83" s="120"/>
      <c r="B83" s="120"/>
      <c r="C83" s="120" t="s">
        <v>303</v>
      </c>
      <c r="D83" s="120" t="s">
        <v>254</v>
      </c>
      <c r="E83" s="120">
        <v>8.5</v>
      </c>
      <c r="F83" s="120">
        <v>8.89</v>
      </c>
      <c r="G83" s="120">
        <v>9.9</v>
      </c>
      <c r="H83" s="120">
        <v>9.0966666666666658</v>
      </c>
      <c r="I83" s="120">
        <v>1</v>
      </c>
      <c r="J83" s="120">
        <f t="shared" si="3"/>
        <v>9.0966666666666658</v>
      </c>
    </row>
    <row r="84" spans="1:10" x14ac:dyDescent="0.25">
      <c r="A84" s="120"/>
      <c r="B84" s="120"/>
      <c r="C84" s="120" t="s">
        <v>304</v>
      </c>
      <c r="D84" s="120" t="s">
        <v>254</v>
      </c>
      <c r="E84" s="120">
        <v>41.34</v>
      </c>
      <c r="F84" s="120">
        <v>36.75</v>
      </c>
      <c r="G84" s="120">
        <v>32</v>
      </c>
      <c r="H84" s="120">
        <v>36.696666666666665</v>
      </c>
      <c r="I84" s="120">
        <v>1</v>
      </c>
      <c r="J84" s="120">
        <f t="shared" si="3"/>
        <v>36.696666666666665</v>
      </c>
    </row>
    <row r="85" spans="1:10" x14ac:dyDescent="0.25">
      <c r="A85" s="120"/>
      <c r="B85" s="120"/>
      <c r="C85" s="120" t="s">
        <v>305</v>
      </c>
      <c r="D85" s="120" t="s">
        <v>254</v>
      </c>
      <c r="E85" s="120">
        <v>6.5</v>
      </c>
      <c r="F85" s="120">
        <v>2.7</v>
      </c>
      <c r="G85" s="120">
        <v>3.5</v>
      </c>
      <c r="H85" s="120">
        <v>4.2333333333333334</v>
      </c>
      <c r="I85" s="120">
        <v>1</v>
      </c>
      <c r="J85" s="120">
        <f t="shared" si="3"/>
        <v>4.2333333333333334</v>
      </c>
    </row>
    <row r="86" spans="1:10" x14ac:dyDescent="0.25">
      <c r="A86" s="120"/>
      <c r="B86" s="120"/>
      <c r="C86" s="120" t="s">
        <v>306</v>
      </c>
      <c r="D86" s="120" t="s">
        <v>254</v>
      </c>
      <c r="E86" s="120">
        <v>19.5</v>
      </c>
      <c r="F86" s="120">
        <v>25.9</v>
      </c>
      <c r="G86" s="120">
        <v>25.9</v>
      </c>
      <c r="H86" s="120">
        <v>23.766666666666666</v>
      </c>
      <c r="I86" s="120">
        <v>10</v>
      </c>
      <c r="J86" s="120">
        <f t="shared" si="3"/>
        <v>237.66666666666666</v>
      </c>
    </row>
    <row r="87" spans="1:10" x14ac:dyDescent="0.25">
      <c r="A87" s="120"/>
      <c r="B87" s="120"/>
      <c r="C87" s="120" t="s">
        <v>307</v>
      </c>
      <c r="D87" s="120" t="s">
        <v>254</v>
      </c>
      <c r="E87" s="120">
        <v>17.899999999999999</v>
      </c>
      <c r="F87" s="120">
        <v>24.5</v>
      </c>
      <c r="G87" s="120">
        <v>18.989999999999998</v>
      </c>
      <c r="H87" s="120">
        <v>20.463333333333335</v>
      </c>
      <c r="I87" s="120">
        <v>10</v>
      </c>
      <c r="J87" s="120">
        <f t="shared" si="3"/>
        <v>204.63333333333335</v>
      </c>
    </row>
    <row r="88" spans="1:10" x14ac:dyDescent="0.25">
      <c r="A88" s="120"/>
      <c r="B88" s="120"/>
      <c r="C88" s="120" t="s">
        <v>313</v>
      </c>
      <c r="D88" s="120" t="s">
        <v>254</v>
      </c>
      <c r="E88" s="120">
        <v>185</v>
      </c>
      <c r="F88" s="120">
        <v>185</v>
      </c>
      <c r="G88" s="120">
        <v>185</v>
      </c>
      <c r="H88" s="120">
        <v>185</v>
      </c>
      <c r="I88" s="120">
        <v>1</v>
      </c>
      <c r="J88" s="120">
        <f t="shared" si="3"/>
        <v>185</v>
      </c>
    </row>
    <row r="89" spans="1:10" x14ac:dyDescent="0.25">
      <c r="A89" s="267" t="s">
        <v>5</v>
      </c>
      <c r="B89" s="267"/>
      <c r="C89" s="267"/>
      <c r="D89" s="267"/>
      <c r="E89" s="267"/>
      <c r="F89" s="267"/>
      <c r="G89" s="267"/>
      <c r="H89" s="267"/>
      <c r="I89" s="267"/>
      <c r="J89" s="120">
        <f>SUM(J80:J88)</f>
        <v>733.46</v>
      </c>
    </row>
    <row r="90" spans="1:10" x14ac:dyDescent="0.25">
      <c r="A90" s="267" t="s">
        <v>309</v>
      </c>
      <c r="B90" s="267"/>
      <c r="C90" s="267"/>
      <c r="D90" s="267"/>
      <c r="E90" s="267"/>
      <c r="F90" s="267"/>
      <c r="G90" s="267"/>
      <c r="H90" s="267"/>
      <c r="I90" s="267"/>
      <c r="J90" s="120">
        <f>J89/12</f>
        <v>61.12166666666667</v>
      </c>
    </row>
    <row r="91" spans="1:10" x14ac:dyDescent="0.25">
      <c r="A91" s="268" t="s">
        <v>315</v>
      </c>
      <c r="B91" s="268"/>
      <c r="C91" s="268"/>
      <c r="D91" s="268"/>
      <c r="E91" s="268"/>
      <c r="F91" s="268"/>
      <c r="G91" s="268"/>
      <c r="H91" s="268"/>
      <c r="I91" s="268"/>
      <c r="J91" s="268"/>
    </row>
    <row r="92" spans="1:10" x14ac:dyDescent="0.25">
      <c r="A92" s="120" t="s">
        <v>30</v>
      </c>
      <c r="B92" s="120" t="s">
        <v>253</v>
      </c>
      <c r="C92" s="120" t="s">
        <v>297</v>
      </c>
      <c r="D92" s="120" t="s">
        <v>254</v>
      </c>
      <c r="E92" s="120" t="s">
        <v>255</v>
      </c>
      <c r="F92" s="120" t="s">
        <v>256</v>
      </c>
      <c r="G92" s="120" t="s">
        <v>257</v>
      </c>
      <c r="H92" s="120" t="s">
        <v>258</v>
      </c>
      <c r="I92" s="120" t="s">
        <v>259</v>
      </c>
      <c r="J92" s="120" t="s">
        <v>260</v>
      </c>
    </row>
    <row r="93" spans="1:10" x14ac:dyDescent="0.25">
      <c r="A93" s="120"/>
      <c r="B93" s="120"/>
      <c r="C93" s="120" t="s">
        <v>301</v>
      </c>
      <c r="D93" s="120" t="s">
        <v>254</v>
      </c>
      <c r="E93" s="120">
        <v>284.89999999999998</v>
      </c>
      <c r="F93" s="120">
        <v>286.89999999999998</v>
      </c>
      <c r="G93" s="120">
        <v>286.89999999999998</v>
      </c>
      <c r="H93" s="120">
        <v>286.23333333333329</v>
      </c>
      <c r="I93" s="120">
        <v>1</v>
      </c>
      <c r="J93" s="120">
        <v>286.23333333333329</v>
      </c>
    </row>
    <row r="94" spans="1:10" x14ac:dyDescent="0.25">
      <c r="A94" s="120"/>
      <c r="B94" s="120"/>
      <c r="C94" s="120" t="s">
        <v>314</v>
      </c>
      <c r="D94" s="120" t="s">
        <v>254</v>
      </c>
      <c r="E94" s="120">
        <v>36.93</v>
      </c>
      <c r="F94" s="120">
        <v>36.93</v>
      </c>
      <c r="G94" s="120">
        <v>29.99</v>
      </c>
      <c r="H94" s="120">
        <v>34.616666666666667</v>
      </c>
      <c r="I94" s="120">
        <v>2</v>
      </c>
      <c r="J94" s="120">
        <v>69.233333333333334</v>
      </c>
    </row>
    <row r="95" spans="1:10" x14ac:dyDescent="0.25">
      <c r="A95" s="120"/>
      <c r="B95" s="120"/>
      <c r="C95" s="120" t="s">
        <v>386</v>
      </c>
      <c r="D95" s="120" t="s">
        <v>254</v>
      </c>
      <c r="E95" s="120">
        <v>952.24</v>
      </c>
      <c r="F95" s="120">
        <v>899</v>
      </c>
      <c r="G95" s="120">
        <v>680</v>
      </c>
      <c r="H95" s="120">
        <f>AVERAGE(E95:G95)</f>
        <v>843.74666666666656</v>
      </c>
      <c r="I95" s="120">
        <v>1</v>
      </c>
      <c r="J95" s="120">
        <f>I95*H95</f>
        <v>843.74666666666656</v>
      </c>
    </row>
    <row r="96" spans="1:10" x14ac:dyDescent="0.25">
      <c r="A96" s="267" t="s">
        <v>5</v>
      </c>
      <c r="B96" s="267"/>
      <c r="C96" s="267"/>
      <c r="D96" s="267"/>
      <c r="E96" s="267"/>
      <c r="F96" s="267"/>
      <c r="G96" s="267"/>
      <c r="H96" s="267"/>
      <c r="I96" s="267"/>
      <c r="J96" s="120">
        <f>SUM(J93:J95)</f>
        <v>1199.2133333333331</v>
      </c>
    </row>
    <row r="97" spans="1:10" x14ac:dyDescent="0.25">
      <c r="A97" s="267" t="s">
        <v>309</v>
      </c>
      <c r="B97" s="267"/>
      <c r="C97" s="267"/>
      <c r="D97" s="267"/>
      <c r="E97" s="267"/>
      <c r="F97" s="267"/>
      <c r="G97" s="267"/>
      <c r="H97" s="267"/>
      <c r="I97" s="267"/>
      <c r="J97" s="120">
        <f>(J96/12)/2</f>
        <v>49.967222222222212</v>
      </c>
    </row>
    <row r="99" spans="1:10" x14ac:dyDescent="0.25">
      <c r="A99" s="268" t="s">
        <v>362</v>
      </c>
      <c r="B99" s="268"/>
      <c r="C99" s="268"/>
      <c r="D99" s="268"/>
      <c r="E99" s="268"/>
      <c r="F99" s="268"/>
      <c r="G99" s="268"/>
      <c r="H99" s="268"/>
      <c r="I99" s="268"/>
      <c r="J99" s="268"/>
    </row>
    <row r="100" spans="1:10" x14ac:dyDescent="0.25">
      <c r="A100" s="120" t="s">
        <v>30</v>
      </c>
      <c r="B100" s="120" t="s">
        <v>253</v>
      </c>
      <c r="C100" s="120" t="s">
        <v>297</v>
      </c>
      <c r="D100" s="120" t="s">
        <v>254</v>
      </c>
      <c r="E100" s="120" t="s">
        <v>255</v>
      </c>
      <c r="F100" s="120" t="s">
        <v>256</v>
      </c>
      <c r="G100" s="120" t="s">
        <v>257</v>
      </c>
      <c r="H100" s="120" t="s">
        <v>258</v>
      </c>
      <c r="I100" s="120" t="s">
        <v>259</v>
      </c>
      <c r="J100" s="120" t="s">
        <v>260</v>
      </c>
    </row>
    <row r="101" spans="1:10" x14ac:dyDescent="0.25">
      <c r="A101" s="120" t="s">
        <v>261</v>
      </c>
      <c r="B101" s="120" t="s">
        <v>298</v>
      </c>
      <c r="C101" s="120" t="s">
        <v>300</v>
      </c>
      <c r="D101" s="120" t="s">
        <v>254</v>
      </c>
      <c r="E101" s="120">
        <v>8.14</v>
      </c>
      <c r="F101" s="120">
        <v>12.5</v>
      </c>
      <c r="G101" s="120">
        <v>55.06</v>
      </c>
      <c r="H101" s="120">
        <v>25.233333333333334</v>
      </c>
      <c r="I101" s="120">
        <v>1</v>
      </c>
      <c r="J101" s="120">
        <f>H101*I101</f>
        <v>25.233333333333334</v>
      </c>
    </row>
    <row r="102" spans="1:10" x14ac:dyDescent="0.25">
      <c r="A102" s="120"/>
      <c r="B102" s="120"/>
      <c r="C102" s="120" t="s">
        <v>302</v>
      </c>
      <c r="D102" s="120" t="s">
        <v>254</v>
      </c>
      <c r="E102" s="120">
        <v>19.899999999999999</v>
      </c>
      <c r="F102" s="120">
        <v>8.9</v>
      </c>
      <c r="G102" s="120">
        <v>19.899999999999999</v>
      </c>
      <c r="H102" s="120">
        <v>16.233333333333331</v>
      </c>
      <c r="I102" s="120">
        <v>1</v>
      </c>
      <c r="J102" s="120">
        <f>H102*I102</f>
        <v>16.233333333333331</v>
      </c>
    </row>
    <row r="103" spans="1:10" x14ac:dyDescent="0.25">
      <c r="A103" s="120"/>
      <c r="B103" s="120"/>
      <c r="C103" s="120" t="s">
        <v>303</v>
      </c>
      <c r="D103" s="120" t="s">
        <v>254</v>
      </c>
      <c r="E103" s="120">
        <v>8.5</v>
      </c>
      <c r="F103" s="120">
        <v>8.89</v>
      </c>
      <c r="G103" s="120">
        <v>9.9</v>
      </c>
      <c r="H103" s="120">
        <v>9.0966666666666658</v>
      </c>
      <c r="I103" s="120">
        <v>1</v>
      </c>
      <c r="J103" s="120">
        <f>H103*I103</f>
        <v>9.0966666666666658</v>
      </c>
    </row>
    <row r="104" spans="1:10" x14ac:dyDescent="0.25">
      <c r="A104" s="120"/>
      <c r="B104" s="120"/>
      <c r="C104" s="120" t="s">
        <v>305</v>
      </c>
      <c r="D104" s="120" t="s">
        <v>254</v>
      </c>
      <c r="E104" s="120">
        <v>6.5</v>
      </c>
      <c r="F104" s="120">
        <v>2.7</v>
      </c>
      <c r="G104" s="120">
        <v>3.5</v>
      </c>
      <c r="H104" s="120">
        <v>4.2333333333333334</v>
      </c>
      <c r="I104" s="120">
        <v>1</v>
      </c>
      <c r="J104" s="120">
        <f>H104*I104</f>
        <v>4.2333333333333334</v>
      </c>
    </row>
    <row r="105" spans="1:10" ht="45" x14ac:dyDescent="0.25">
      <c r="A105" s="120" t="s">
        <v>363</v>
      </c>
      <c r="B105" s="120" t="s">
        <v>364</v>
      </c>
      <c r="C105" s="157" t="s">
        <v>365</v>
      </c>
      <c r="D105" s="120"/>
      <c r="E105" s="120"/>
      <c r="F105" s="120"/>
      <c r="G105" s="120"/>
      <c r="H105" s="120">
        <v>240</v>
      </c>
      <c r="I105" s="120">
        <v>1</v>
      </c>
      <c r="J105" s="120">
        <f>H105*I105</f>
        <v>240</v>
      </c>
    </row>
    <row r="106" spans="1:10" x14ac:dyDescent="0.25">
      <c r="A106" s="267" t="s">
        <v>5</v>
      </c>
      <c r="B106" s="267"/>
      <c r="C106" s="267"/>
      <c r="D106" s="267"/>
      <c r="E106" s="267"/>
      <c r="F106" s="267"/>
      <c r="G106" s="267"/>
      <c r="H106" s="267"/>
      <c r="I106" s="267"/>
      <c r="J106" s="120">
        <f>SUM(J101:J105)</f>
        <v>294.79666666666668</v>
      </c>
    </row>
    <row r="107" spans="1:10" x14ac:dyDescent="0.25">
      <c r="A107" s="267" t="s">
        <v>309</v>
      </c>
      <c r="B107" s="267"/>
      <c r="C107" s="267"/>
      <c r="D107" s="267"/>
      <c r="E107" s="267"/>
      <c r="F107" s="267"/>
      <c r="G107" s="267"/>
      <c r="H107" s="267"/>
      <c r="I107" s="267"/>
      <c r="J107" s="120">
        <f>J106/12</f>
        <v>24.566388888888891</v>
      </c>
    </row>
    <row r="110" spans="1:10" x14ac:dyDescent="0.25">
      <c r="A110" s="235" t="s">
        <v>319</v>
      </c>
      <c r="B110" s="235"/>
      <c r="C110" s="235"/>
      <c r="D110" s="235"/>
      <c r="E110" s="235"/>
      <c r="F110" s="235"/>
      <c r="G110" s="235"/>
      <c r="H110" s="235"/>
      <c r="I110" s="235"/>
      <c r="J110" s="235"/>
    </row>
    <row r="111" spans="1:10" ht="45" x14ac:dyDescent="0.25">
      <c r="A111" s="109" t="s">
        <v>30</v>
      </c>
      <c r="B111" s="109" t="s">
        <v>253</v>
      </c>
      <c r="C111" s="109" t="s">
        <v>100</v>
      </c>
      <c r="D111" s="109" t="s">
        <v>254</v>
      </c>
      <c r="E111" s="109" t="s">
        <v>255</v>
      </c>
      <c r="F111" s="109" t="s">
        <v>256</v>
      </c>
      <c r="G111" s="109" t="s">
        <v>257</v>
      </c>
      <c r="H111" s="109" t="s">
        <v>258</v>
      </c>
      <c r="I111" s="109" t="s">
        <v>259</v>
      </c>
      <c r="J111" s="109" t="s">
        <v>260</v>
      </c>
    </row>
    <row r="112" spans="1:10" ht="15" customHeight="1" x14ac:dyDescent="0.25">
      <c r="A112" s="133" t="s">
        <v>261</v>
      </c>
      <c r="B112" s="133" t="s">
        <v>262</v>
      </c>
      <c r="C112" s="109" t="s">
        <v>263</v>
      </c>
      <c r="D112" s="109" t="s">
        <v>254</v>
      </c>
      <c r="E112" s="109">
        <v>63.13</v>
      </c>
      <c r="F112" s="109">
        <v>66.900000000000006</v>
      </c>
      <c r="G112" s="109">
        <v>74.709999999999994</v>
      </c>
      <c r="H112" s="109">
        <v>68.24666666666667</v>
      </c>
      <c r="I112" s="109">
        <v>1</v>
      </c>
      <c r="J112" s="109">
        <v>68.24666666666667</v>
      </c>
    </row>
    <row r="113" spans="1:10" x14ac:dyDescent="0.25">
      <c r="A113" s="133"/>
      <c r="B113" s="133"/>
      <c r="C113" s="109" t="s">
        <v>264</v>
      </c>
      <c r="D113" s="109" t="s">
        <v>254</v>
      </c>
      <c r="E113" s="109">
        <v>24.12</v>
      </c>
      <c r="F113" s="109">
        <v>20</v>
      </c>
      <c r="G113" s="109">
        <v>32.49</v>
      </c>
      <c r="H113" s="109">
        <v>25.536666666666672</v>
      </c>
      <c r="I113" s="109">
        <v>1</v>
      </c>
      <c r="J113" s="109">
        <v>25.536666666666672</v>
      </c>
    </row>
    <row r="114" spans="1:10" x14ac:dyDescent="0.25">
      <c r="A114" s="133"/>
      <c r="B114" s="133"/>
      <c r="C114" s="109" t="s">
        <v>265</v>
      </c>
      <c r="D114" s="109" t="s">
        <v>254</v>
      </c>
      <c r="E114" s="109">
        <v>13.24</v>
      </c>
      <c r="F114" s="109">
        <v>13.98</v>
      </c>
      <c r="G114" s="109">
        <v>19.66</v>
      </c>
      <c r="H114" s="109">
        <v>15.626666666666665</v>
      </c>
      <c r="I114" s="109">
        <v>1</v>
      </c>
      <c r="J114" s="109">
        <v>15.626666666666665</v>
      </c>
    </row>
    <row r="115" spans="1:10" x14ac:dyDescent="0.25">
      <c r="A115" s="133"/>
      <c r="B115" s="133"/>
      <c r="C115" s="109" t="s">
        <v>266</v>
      </c>
      <c r="D115" s="109" t="s">
        <v>254</v>
      </c>
      <c r="E115" s="109">
        <v>38</v>
      </c>
      <c r="F115" s="109">
        <v>29.99</v>
      </c>
      <c r="G115" s="109">
        <v>29.95</v>
      </c>
      <c r="H115" s="109">
        <v>32.646666666666668</v>
      </c>
      <c r="I115" s="109">
        <v>1</v>
      </c>
      <c r="J115" s="109">
        <v>32.646666666666668</v>
      </c>
    </row>
    <row r="116" spans="1:10" x14ac:dyDescent="0.25">
      <c r="A116" s="133"/>
      <c r="B116" s="133"/>
      <c r="C116" s="109" t="s">
        <v>267</v>
      </c>
      <c r="D116" s="109" t="s">
        <v>254</v>
      </c>
      <c r="E116" s="109">
        <v>32.99</v>
      </c>
      <c r="F116" s="109">
        <v>39.99</v>
      </c>
      <c r="G116" s="109">
        <v>44.6</v>
      </c>
      <c r="H116" s="109">
        <v>39.193333333333335</v>
      </c>
      <c r="I116" s="109">
        <v>1</v>
      </c>
      <c r="J116" s="109">
        <v>39.193333333333335</v>
      </c>
    </row>
    <row r="117" spans="1:10" x14ac:dyDescent="0.25">
      <c r="A117" s="133"/>
      <c r="B117" s="133"/>
      <c r="C117" s="109" t="s">
        <v>273</v>
      </c>
      <c r="D117" s="109" t="s">
        <v>254</v>
      </c>
      <c r="E117" s="109">
        <v>94.01</v>
      </c>
      <c r="F117" s="109">
        <v>77.900000000000006</v>
      </c>
      <c r="G117" s="109">
        <v>118.21</v>
      </c>
      <c r="H117" s="109">
        <v>96.706666666666663</v>
      </c>
      <c r="I117" s="109">
        <v>1</v>
      </c>
      <c r="J117" s="109">
        <v>96.706666666666663</v>
      </c>
    </row>
    <row r="118" spans="1:10" x14ac:dyDescent="0.25">
      <c r="A118" s="133"/>
      <c r="B118" s="133"/>
      <c r="C118" s="109" t="s">
        <v>275</v>
      </c>
      <c r="D118" s="109" t="s">
        <v>254</v>
      </c>
      <c r="E118" s="109">
        <v>194.59</v>
      </c>
      <c r="F118" s="109">
        <v>179.9</v>
      </c>
      <c r="G118" s="109">
        <v>189.9</v>
      </c>
      <c r="H118" s="109">
        <v>188.13</v>
      </c>
      <c r="I118" s="109">
        <v>1</v>
      </c>
      <c r="J118" s="109">
        <v>188.13</v>
      </c>
    </row>
    <row r="119" spans="1:10" x14ac:dyDescent="0.25">
      <c r="A119" s="133"/>
      <c r="B119" s="133"/>
      <c r="C119" s="109" t="s">
        <v>276</v>
      </c>
      <c r="D119" s="109" t="s">
        <v>254</v>
      </c>
      <c r="E119" s="109">
        <v>180</v>
      </c>
      <c r="F119" s="109">
        <v>255.01</v>
      </c>
      <c r="G119" s="109">
        <v>500</v>
      </c>
      <c r="H119" s="109">
        <v>311.67</v>
      </c>
      <c r="I119" s="109">
        <v>1</v>
      </c>
      <c r="J119" s="109">
        <v>311.67</v>
      </c>
    </row>
    <row r="120" spans="1:10" x14ac:dyDescent="0.25">
      <c r="A120" s="133"/>
      <c r="B120" s="133"/>
      <c r="C120" s="109" t="s">
        <v>279</v>
      </c>
      <c r="D120" s="109" t="s">
        <v>254</v>
      </c>
      <c r="E120" s="109">
        <v>399</v>
      </c>
      <c r="F120" s="109">
        <v>499</v>
      </c>
      <c r="G120" s="109">
        <v>266.66000000000003</v>
      </c>
      <c r="H120" s="109">
        <v>388.22</v>
      </c>
      <c r="I120" s="109">
        <v>1</v>
      </c>
      <c r="J120" s="109">
        <v>388.22</v>
      </c>
    </row>
    <row r="121" spans="1:10" x14ac:dyDescent="0.25">
      <c r="A121" s="133"/>
      <c r="B121" s="133"/>
      <c r="C121" s="109" t="s">
        <v>280</v>
      </c>
      <c r="D121" s="109" t="s">
        <v>254</v>
      </c>
      <c r="E121" s="109">
        <v>37.9</v>
      </c>
      <c r="F121" s="109">
        <v>39.9</v>
      </c>
      <c r="G121" s="109">
        <v>29.5</v>
      </c>
      <c r="H121" s="109">
        <v>35.766666666666666</v>
      </c>
      <c r="I121" s="109">
        <v>1</v>
      </c>
      <c r="J121" s="109">
        <v>35.766666666666666</v>
      </c>
    </row>
    <row r="122" spans="1:10" x14ac:dyDescent="0.25">
      <c r="A122" s="133"/>
      <c r="B122" s="133"/>
      <c r="C122" s="109" t="s">
        <v>281</v>
      </c>
      <c r="D122" s="109" t="s">
        <v>254</v>
      </c>
      <c r="E122" s="109">
        <v>33.229999999999997</v>
      </c>
      <c r="F122" s="109">
        <v>41.91</v>
      </c>
      <c r="G122" s="109">
        <v>36</v>
      </c>
      <c r="H122" s="109">
        <v>37.04666666666666</v>
      </c>
      <c r="I122" s="109">
        <v>1</v>
      </c>
      <c r="J122" s="109">
        <v>37.04666666666666</v>
      </c>
    </row>
    <row r="123" spans="1:10" x14ac:dyDescent="0.25">
      <c r="A123" s="133"/>
      <c r="B123" s="133"/>
      <c r="C123" s="109" t="s">
        <v>282</v>
      </c>
      <c r="D123" s="109" t="s">
        <v>254</v>
      </c>
      <c r="E123" s="109">
        <v>24.33</v>
      </c>
      <c r="F123" s="109">
        <v>38.49</v>
      </c>
      <c r="G123" s="109">
        <v>23.89</v>
      </c>
      <c r="H123" s="109">
        <v>28.903333333333336</v>
      </c>
      <c r="I123" s="109">
        <v>1</v>
      </c>
      <c r="J123" s="109">
        <v>28.903333333333336</v>
      </c>
    </row>
    <row r="124" spans="1:10" x14ac:dyDescent="0.25">
      <c r="A124" s="133"/>
      <c r="B124" s="133"/>
      <c r="C124" s="109" t="s">
        <v>283</v>
      </c>
      <c r="D124" s="109" t="s">
        <v>254</v>
      </c>
      <c r="E124" s="109">
        <v>59</v>
      </c>
      <c r="F124" s="109">
        <v>39</v>
      </c>
      <c r="G124" s="109">
        <v>39.99</v>
      </c>
      <c r="H124" s="109">
        <v>45.99666666666667</v>
      </c>
      <c r="I124" s="109">
        <v>1</v>
      </c>
      <c r="J124" s="109">
        <v>45.99666666666667</v>
      </c>
    </row>
    <row r="125" spans="1:10" x14ac:dyDescent="0.25">
      <c r="A125" s="133"/>
      <c r="B125" s="133"/>
      <c r="C125" s="109" t="s">
        <v>285</v>
      </c>
      <c r="D125" s="109" t="s">
        <v>254</v>
      </c>
      <c r="E125" s="109">
        <v>27.62</v>
      </c>
      <c r="F125" s="109">
        <v>20</v>
      </c>
      <c r="G125" s="109">
        <v>39.229999999999997</v>
      </c>
      <c r="H125" s="109">
        <v>28.95</v>
      </c>
      <c r="I125" s="109">
        <v>1</v>
      </c>
      <c r="J125" s="109">
        <v>28.95</v>
      </c>
    </row>
    <row r="126" spans="1:10" x14ac:dyDescent="0.25">
      <c r="A126" s="133"/>
      <c r="B126" s="133"/>
      <c r="C126" s="109" t="s">
        <v>286</v>
      </c>
      <c r="D126" s="109" t="s">
        <v>254</v>
      </c>
      <c r="E126" s="109">
        <v>100</v>
      </c>
      <c r="F126" s="109">
        <v>157</v>
      </c>
      <c r="G126" s="109">
        <v>165</v>
      </c>
      <c r="H126" s="109">
        <v>140.66666666666666</v>
      </c>
      <c r="I126" s="109">
        <v>1</v>
      </c>
      <c r="J126" s="109">
        <v>140.66666666666666</v>
      </c>
    </row>
    <row r="127" spans="1:10" x14ac:dyDescent="0.25">
      <c r="A127" s="133"/>
      <c r="B127" s="133"/>
      <c r="C127" s="109" t="s">
        <v>287</v>
      </c>
      <c r="D127" s="109" t="s">
        <v>254</v>
      </c>
      <c r="E127" s="109">
        <v>84.9</v>
      </c>
      <c r="F127" s="109">
        <v>87</v>
      </c>
      <c r="G127" s="109">
        <v>85</v>
      </c>
      <c r="H127" s="109">
        <v>85.633333333333326</v>
      </c>
      <c r="I127" s="109">
        <v>1</v>
      </c>
      <c r="J127" s="109">
        <v>85.633333333333326</v>
      </c>
    </row>
    <row r="128" spans="1:10" x14ac:dyDescent="0.25">
      <c r="A128" s="133"/>
      <c r="B128" s="133"/>
      <c r="C128" s="109" t="s">
        <v>289</v>
      </c>
      <c r="D128" s="109" t="s">
        <v>254</v>
      </c>
      <c r="E128" s="109">
        <v>190</v>
      </c>
      <c r="F128" s="109">
        <v>155</v>
      </c>
      <c r="G128" s="109">
        <v>230</v>
      </c>
      <c r="H128" s="109">
        <v>191.66666666666666</v>
      </c>
      <c r="I128" s="109">
        <v>1</v>
      </c>
      <c r="J128" s="109">
        <v>191.66666666666666</v>
      </c>
    </row>
    <row r="129" spans="1:10" x14ac:dyDescent="0.25">
      <c r="A129" s="264" t="s">
        <v>5</v>
      </c>
      <c r="B129" s="265"/>
      <c r="C129" s="265"/>
      <c r="D129" s="265"/>
      <c r="E129" s="265"/>
      <c r="F129" s="265"/>
      <c r="G129" s="265"/>
      <c r="H129" s="265"/>
      <c r="I129" s="266"/>
      <c r="J129" s="109">
        <f>SUM(J112:J128)</f>
        <v>1760.6066666666668</v>
      </c>
    </row>
    <row r="130" spans="1:10" x14ac:dyDescent="0.25">
      <c r="A130" s="264" t="s">
        <v>294</v>
      </c>
      <c r="B130" s="265"/>
      <c r="C130" s="265"/>
      <c r="D130" s="265"/>
      <c r="E130" s="265"/>
      <c r="F130" s="265"/>
      <c r="G130" s="265"/>
      <c r="H130" s="265"/>
      <c r="I130" s="266"/>
      <c r="J130" s="109">
        <f>J129/5</f>
        <v>352.12133333333338</v>
      </c>
    </row>
    <row r="131" spans="1:10" x14ac:dyDescent="0.25">
      <c r="A131" s="264" t="s">
        <v>295</v>
      </c>
      <c r="B131" s="265"/>
      <c r="C131" s="265"/>
      <c r="D131" s="265"/>
      <c r="E131" s="265"/>
      <c r="F131" s="265"/>
      <c r="G131" s="265"/>
      <c r="H131" s="265"/>
      <c r="I131" s="266"/>
      <c r="J131" s="109">
        <f>J129/60</f>
        <v>29.343444444444447</v>
      </c>
    </row>
    <row r="134" spans="1:10" x14ac:dyDescent="0.25">
      <c r="B134" s="156"/>
    </row>
  </sheetData>
  <mergeCells count="28">
    <mergeCell ref="A1:E1"/>
    <mergeCell ref="B43:B73"/>
    <mergeCell ref="A43:A73"/>
    <mergeCell ref="A41:J41"/>
    <mergeCell ref="A74:I74"/>
    <mergeCell ref="A37:C37"/>
    <mergeCell ref="A5:E5"/>
    <mergeCell ref="A9:E9"/>
    <mergeCell ref="A14:D14"/>
    <mergeCell ref="A19:D19"/>
    <mergeCell ref="A28:D28"/>
    <mergeCell ref="A36:C36"/>
    <mergeCell ref="A24:D24"/>
    <mergeCell ref="A75:I75"/>
    <mergeCell ref="A76:I76"/>
    <mergeCell ref="A78:J78"/>
    <mergeCell ref="A89:I89"/>
    <mergeCell ref="A90:I90"/>
    <mergeCell ref="A91:J91"/>
    <mergeCell ref="A96:I96"/>
    <mergeCell ref="A97:I97"/>
    <mergeCell ref="A99:J99"/>
    <mergeCell ref="A106:I106"/>
    <mergeCell ref="A130:I130"/>
    <mergeCell ref="A131:I131"/>
    <mergeCell ref="A107:I107"/>
    <mergeCell ref="A110:J110"/>
    <mergeCell ref="A129:I12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showGridLines="0" topLeftCell="A112" zoomScaleNormal="100" workbookViewId="0">
      <selection activeCell="C119" sqref="C119:C120"/>
    </sheetView>
  </sheetViews>
  <sheetFormatPr defaultRowHeight="15.75" x14ac:dyDescent="0.25"/>
  <cols>
    <col min="1" max="1" width="16.28515625" style="36" customWidth="1"/>
    <col min="2" max="2" width="72.140625" style="36" customWidth="1"/>
    <col min="3" max="3" width="18" style="36" customWidth="1"/>
    <col min="4" max="4" width="14.28515625" style="36" customWidth="1"/>
    <col min="5" max="5" width="12.7109375" style="36" customWidth="1"/>
    <col min="6" max="6" width="12" style="36" customWidth="1"/>
    <col min="7" max="7" width="15.140625" style="36" customWidth="1"/>
    <col min="8" max="16384" width="9.140625" style="36"/>
  </cols>
  <sheetData>
    <row r="1" spans="1:4" ht="23.25" x14ac:dyDescent="0.35">
      <c r="A1" s="200" t="s">
        <v>107</v>
      </c>
      <c r="B1" s="200"/>
      <c r="C1" s="200"/>
      <c r="D1" s="200"/>
    </row>
    <row r="2" spans="1:4" ht="23.25" x14ac:dyDescent="0.35">
      <c r="A2" s="200" t="s">
        <v>108</v>
      </c>
      <c r="B2" s="200"/>
      <c r="C2" s="200"/>
      <c r="D2" s="200"/>
    </row>
    <row r="3" spans="1:4" ht="27.75" customHeight="1" x14ac:dyDescent="0.25">
      <c r="A3" s="202" t="s">
        <v>109</v>
      </c>
      <c r="B3" s="202"/>
      <c r="C3" s="202"/>
      <c r="D3" s="202"/>
    </row>
    <row r="4" spans="1:4" x14ac:dyDescent="0.25">
      <c r="A4" s="57" t="s">
        <v>117</v>
      </c>
      <c r="B4" s="197" t="s">
        <v>370</v>
      </c>
      <c r="C4" s="197"/>
    </row>
    <row r="5" spans="1:4" x14ac:dyDescent="0.25">
      <c r="A5" s="57" t="s">
        <v>118</v>
      </c>
      <c r="B5" s="197" t="s">
        <v>134</v>
      </c>
      <c r="C5" s="197"/>
    </row>
    <row r="6" spans="1:4" x14ac:dyDescent="0.25">
      <c r="A6" s="57" t="s">
        <v>119</v>
      </c>
      <c r="B6" s="197" t="s">
        <v>351</v>
      </c>
      <c r="C6" s="197"/>
    </row>
    <row r="7" spans="1:4" x14ac:dyDescent="0.25">
      <c r="A7" s="201" t="s">
        <v>39</v>
      </c>
      <c r="B7" s="201"/>
      <c r="C7" s="201"/>
    </row>
    <row r="8" spans="1:4" ht="16.5" thickBot="1" x14ac:dyDescent="0.3"/>
    <row r="9" spans="1:4" ht="16.5" thickBot="1" x14ac:dyDescent="0.3">
      <c r="A9" s="28">
        <v>1</v>
      </c>
      <c r="B9" s="83" t="s">
        <v>40</v>
      </c>
      <c r="C9" s="83" t="s">
        <v>41</v>
      </c>
    </row>
    <row r="10" spans="1:4" ht="16.5" thickBot="1" x14ac:dyDescent="0.3">
      <c r="A10" s="30" t="s">
        <v>42</v>
      </c>
      <c r="B10" s="31" t="s">
        <v>43</v>
      </c>
      <c r="C10" s="44">
        <v>1912.33</v>
      </c>
    </row>
    <row r="11" spans="1:4" ht="16.5" thickBot="1" x14ac:dyDescent="0.3">
      <c r="A11" s="30" t="s">
        <v>44</v>
      </c>
      <c r="B11" s="31" t="s">
        <v>45</v>
      </c>
      <c r="C11" s="44"/>
    </row>
    <row r="12" spans="1:4" ht="16.5" thickBot="1" x14ac:dyDescent="0.3">
      <c r="A12" s="30" t="s">
        <v>46</v>
      </c>
      <c r="B12" s="31" t="s">
        <v>47</v>
      </c>
      <c r="C12" s="44"/>
    </row>
    <row r="13" spans="1:4" ht="16.5" thickBot="1" x14ac:dyDescent="0.3">
      <c r="A13" s="30" t="s">
        <v>48</v>
      </c>
      <c r="B13" s="31" t="s">
        <v>4</v>
      </c>
      <c r="C13" s="44"/>
    </row>
    <row r="14" spans="1:4" ht="16.5" thickBot="1" x14ac:dyDescent="0.3">
      <c r="A14" s="30" t="s">
        <v>49</v>
      </c>
      <c r="B14" s="31" t="s">
        <v>50</v>
      </c>
      <c r="C14" s="84"/>
    </row>
    <row r="15" spans="1:4" ht="16.5" thickBot="1" x14ac:dyDescent="0.3">
      <c r="A15" s="30" t="s">
        <v>51</v>
      </c>
      <c r="B15" s="60"/>
      <c r="C15" s="57"/>
    </row>
    <row r="16" spans="1:4" ht="16.5" thickBot="1" x14ac:dyDescent="0.3">
      <c r="A16" s="30" t="s">
        <v>52</v>
      </c>
      <c r="B16" s="60" t="s">
        <v>53</v>
      </c>
      <c r="C16" s="85"/>
    </row>
    <row r="17" spans="1:4" ht="16.5" thickBot="1" x14ac:dyDescent="0.3">
      <c r="A17" s="190" t="s">
        <v>5</v>
      </c>
      <c r="B17" s="191"/>
      <c r="C17" s="64">
        <f>SUM(C10:C16)</f>
        <v>1912.33</v>
      </c>
    </row>
    <row r="18" spans="1:4" x14ac:dyDescent="0.25">
      <c r="A18" s="198"/>
      <c r="B18" s="198"/>
      <c r="C18" s="198"/>
    </row>
    <row r="19" spans="1:4" x14ac:dyDescent="0.25">
      <c r="A19" s="199"/>
      <c r="B19" s="199"/>
      <c r="C19" s="199"/>
    </row>
    <row r="20" spans="1:4" x14ac:dyDescent="0.25">
      <c r="A20" s="192" t="s">
        <v>54</v>
      </c>
      <c r="B20" s="192"/>
      <c r="C20" s="192"/>
    </row>
    <row r="21" spans="1:4" x14ac:dyDescent="0.25">
      <c r="A21" s="27"/>
    </row>
    <row r="22" spans="1:4" x14ac:dyDescent="0.25">
      <c r="A22" s="193" t="s">
        <v>55</v>
      </c>
      <c r="B22" s="193"/>
      <c r="C22" s="193"/>
    </row>
    <row r="23" spans="1:4" ht="16.5" thickBot="1" x14ac:dyDescent="0.3"/>
    <row r="24" spans="1:4" ht="16.5" thickBot="1" x14ac:dyDescent="0.3">
      <c r="A24" s="28" t="s">
        <v>56</v>
      </c>
      <c r="B24" s="83" t="s">
        <v>57</v>
      </c>
      <c r="C24" s="83" t="s">
        <v>63</v>
      </c>
      <c r="D24" s="83" t="s">
        <v>41</v>
      </c>
    </row>
    <row r="25" spans="1:4" ht="16.5" thickBot="1" x14ac:dyDescent="0.3">
      <c r="A25" s="30" t="s">
        <v>42</v>
      </c>
      <c r="B25" s="60" t="s">
        <v>58</v>
      </c>
      <c r="C25" s="56">
        <f>1/12</f>
        <v>8.3333333333333329E-2</v>
      </c>
      <c r="D25" s="61">
        <f>C$17*C25</f>
        <v>159.36083333333332</v>
      </c>
    </row>
    <row r="26" spans="1:4" ht="16.5" thickBot="1" x14ac:dyDescent="0.3">
      <c r="A26" s="30" t="s">
        <v>44</v>
      </c>
      <c r="B26" s="58" t="s">
        <v>59</v>
      </c>
      <c r="C26" s="62">
        <v>0.1111</v>
      </c>
      <c r="D26" s="63">
        <f>C$17*C26</f>
        <v>212.45986300000001</v>
      </c>
    </row>
    <row r="27" spans="1:4" ht="16.5" thickBot="1" x14ac:dyDescent="0.3">
      <c r="A27" s="190" t="s">
        <v>5</v>
      </c>
      <c r="B27" s="191"/>
      <c r="C27" s="65">
        <f>SUM(C25:C26)</f>
        <v>0.19443333333333335</v>
      </c>
      <c r="D27" s="66">
        <f>C$17*C27</f>
        <v>371.82069633333333</v>
      </c>
    </row>
    <row r="30" spans="1:4" ht="32.25" customHeight="1" x14ac:dyDescent="0.25">
      <c r="A30" s="196" t="s">
        <v>60</v>
      </c>
      <c r="B30" s="196"/>
      <c r="C30" s="196"/>
      <c r="D30" s="196"/>
    </row>
    <row r="31" spans="1:4" ht="16.5" thickBot="1" x14ac:dyDescent="0.3"/>
    <row r="32" spans="1:4" ht="16.5" thickBot="1" x14ac:dyDescent="0.3">
      <c r="A32" s="28" t="s">
        <v>61</v>
      </c>
      <c r="B32" s="83" t="s">
        <v>62</v>
      </c>
      <c r="C32" s="83" t="s">
        <v>63</v>
      </c>
      <c r="D32" s="83" t="s">
        <v>41</v>
      </c>
    </row>
    <row r="33" spans="1:4" ht="16.5" thickBot="1" x14ac:dyDescent="0.3">
      <c r="A33" s="30" t="s">
        <v>42</v>
      </c>
      <c r="B33" s="31" t="s">
        <v>64</v>
      </c>
      <c r="C33" s="33">
        <v>0.2</v>
      </c>
      <c r="D33" s="63">
        <f t="shared" ref="D33:D41" si="0">(D$27+C$17)*C33</f>
        <v>456.83013926666666</v>
      </c>
    </row>
    <row r="34" spans="1:4" ht="16.5" thickBot="1" x14ac:dyDescent="0.3">
      <c r="A34" s="30" t="s">
        <v>44</v>
      </c>
      <c r="B34" s="31" t="s">
        <v>65</v>
      </c>
      <c r="C34" s="33">
        <v>2.5000000000000001E-2</v>
      </c>
      <c r="D34" s="63">
        <f t="shared" si="0"/>
        <v>57.103767408333333</v>
      </c>
    </row>
    <row r="35" spans="1:4" ht="16.5" thickBot="1" x14ac:dyDescent="0.3">
      <c r="A35" s="30" t="s">
        <v>46</v>
      </c>
      <c r="B35" s="31" t="s">
        <v>66</v>
      </c>
      <c r="C35" s="45">
        <v>0.01</v>
      </c>
      <c r="D35" s="63">
        <f t="shared" si="0"/>
        <v>22.84150696333333</v>
      </c>
    </row>
    <row r="36" spans="1:4" ht="16.5" thickBot="1" x14ac:dyDescent="0.3">
      <c r="A36" s="30" t="s">
        <v>48</v>
      </c>
      <c r="B36" s="31" t="s">
        <v>67</v>
      </c>
      <c r="C36" s="33">
        <v>1.4999999999999999E-2</v>
      </c>
      <c r="D36" s="63">
        <f t="shared" si="0"/>
        <v>34.262260444999995</v>
      </c>
    </row>
    <row r="37" spans="1:4" ht="16.5" thickBot="1" x14ac:dyDescent="0.3">
      <c r="A37" s="30" t="s">
        <v>49</v>
      </c>
      <c r="B37" s="31" t="s">
        <v>68</v>
      </c>
      <c r="C37" s="33">
        <v>0.01</v>
      </c>
      <c r="D37" s="63">
        <f t="shared" si="0"/>
        <v>22.84150696333333</v>
      </c>
    </row>
    <row r="38" spans="1:4" ht="16.5" thickBot="1" x14ac:dyDescent="0.3">
      <c r="A38" s="30" t="s">
        <v>51</v>
      </c>
      <c r="B38" s="31" t="s">
        <v>7</v>
      </c>
      <c r="C38" s="33">
        <v>6.0000000000000001E-3</v>
      </c>
      <c r="D38" s="63">
        <f t="shared" si="0"/>
        <v>13.704904178</v>
      </c>
    </row>
    <row r="39" spans="1:4" ht="16.5" thickBot="1" x14ac:dyDescent="0.3">
      <c r="A39" s="30" t="s">
        <v>52</v>
      </c>
      <c r="B39" s="31" t="s">
        <v>8</v>
      </c>
      <c r="C39" s="33">
        <v>2E-3</v>
      </c>
      <c r="D39" s="63">
        <f t="shared" si="0"/>
        <v>4.5683013926666662</v>
      </c>
    </row>
    <row r="40" spans="1:4" ht="16.5" thickBot="1" x14ac:dyDescent="0.3">
      <c r="A40" s="30" t="s">
        <v>69</v>
      </c>
      <c r="B40" s="31" t="s">
        <v>9</v>
      </c>
      <c r="C40" s="33">
        <v>0.08</v>
      </c>
      <c r="D40" s="63">
        <f t="shared" si="0"/>
        <v>182.73205570666664</v>
      </c>
    </row>
    <row r="41" spans="1:4" ht="16.5" thickBot="1" x14ac:dyDescent="0.3">
      <c r="A41" s="190" t="s">
        <v>70</v>
      </c>
      <c r="B41" s="191"/>
      <c r="C41" s="33">
        <f>SUM(C33:C40)</f>
        <v>0.34800000000000003</v>
      </c>
      <c r="D41" s="63">
        <f t="shared" si="0"/>
        <v>794.88444232400002</v>
      </c>
    </row>
    <row r="44" spans="1:4" x14ac:dyDescent="0.25">
      <c r="A44" s="193" t="s">
        <v>71</v>
      </c>
      <c r="B44" s="193"/>
      <c r="C44" s="193"/>
    </row>
    <row r="45" spans="1:4" ht="16.5" thickBot="1" x14ac:dyDescent="0.3"/>
    <row r="46" spans="1:4" ht="16.5" thickBot="1" x14ac:dyDescent="0.3">
      <c r="A46" s="28" t="s">
        <v>72</v>
      </c>
      <c r="B46" s="83" t="s">
        <v>73</v>
      </c>
      <c r="C46" s="83" t="s">
        <v>41</v>
      </c>
    </row>
    <row r="47" spans="1:4" ht="16.5" thickBot="1" x14ac:dyDescent="0.3">
      <c r="A47" s="30" t="s">
        <v>42</v>
      </c>
      <c r="B47" s="31" t="s">
        <v>74</v>
      </c>
      <c r="C47" s="44">
        <f>'Planilhas de Apoio'!D16</f>
        <v>70.060200000000023</v>
      </c>
    </row>
    <row r="48" spans="1:4" ht="16.5" thickBot="1" x14ac:dyDescent="0.3">
      <c r="A48" s="30" t="s">
        <v>44</v>
      </c>
      <c r="B48" s="31" t="s">
        <v>120</v>
      </c>
      <c r="C48" s="44">
        <f>'Planilhas de Apoio'!D22</f>
        <v>462</v>
      </c>
    </row>
    <row r="49" spans="1:3" ht="16.5" thickBot="1" x14ac:dyDescent="0.3">
      <c r="A49" s="30" t="s">
        <v>46</v>
      </c>
      <c r="B49" s="31" t="s">
        <v>131</v>
      </c>
      <c r="C49" s="44">
        <v>0</v>
      </c>
    </row>
    <row r="50" spans="1:3" ht="16.5" thickBot="1" x14ac:dyDescent="0.3">
      <c r="A50" s="73" t="s">
        <v>48</v>
      </c>
      <c r="B50" s="72" t="s">
        <v>121</v>
      </c>
      <c r="C50" s="44"/>
    </row>
    <row r="51" spans="1:3" ht="16.5" thickBot="1" x14ac:dyDescent="0.3">
      <c r="A51" s="73" t="s">
        <v>49</v>
      </c>
      <c r="B51" s="59" t="s">
        <v>122</v>
      </c>
      <c r="C51" s="44">
        <v>0</v>
      </c>
    </row>
    <row r="52" spans="1:3" ht="16.5" thickBot="1" x14ac:dyDescent="0.3">
      <c r="A52" s="203" t="s">
        <v>5</v>
      </c>
      <c r="B52" s="204"/>
      <c r="C52" s="44">
        <f>SUM(C47:C50)</f>
        <v>532.06020000000001</v>
      </c>
    </row>
    <row r="55" spans="1:3" x14ac:dyDescent="0.25">
      <c r="A55" s="193" t="s">
        <v>75</v>
      </c>
      <c r="B55" s="193"/>
      <c r="C55" s="193"/>
    </row>
    <row r="56" spans="1:3" ht="16.5" thickBot="1" x14ac:dyDescent="0.3"/>
    <row r="57" spans="1:3" ht="16.5" thickBot="1" x14ac:dyDescent="0.3">
      <c r="A57" s="28">
        <v>2</v>
      </c>
      <c r="B57" s="83" t="s">
        <v>76</v>
      </c>
      <c r="C57" s="83" t="s">
        <v>41</v>
      </c>
    </row>
    <row r="58" spans="1:3" ht="16.5" thickBot="1" x14ac:dyDescent="0.3">
      <c r="A58" s="30" t="s">
        <v>56</v>
      </c>
      <c r="B58" s="31" t="s">
        <v>57</v>
      </c>
      <c r="C58" s="44">
        <f>D27</f>
        <v>371.82069633333333</v>
      </c>
    </row>
    <row r="59" spans="1:3" ht="16.5" thickBot="1" x14ac:dyDescent="0.3">
      <c r="A59" s="30" t="s">
        <v>61</v>
      </c>
      <c r="B59" s="31" t="s">
        <v>62</v>
      </c>
      <c r="C59" s="44">
        <f>D41</f>
        <v>794.88444232400002</v>
      </c>
    </row>
    <row r="60" spans="1:3" ht="16.5" thickBot="1" x14ac:dyDescent="0.3">
      <c r="A60" s="30" t="s">
        <v>72</v>
      </c>
      <c r="B60" s="31" t="s">
        <v>73</v>
      </c>
      <c r="C60" s="44">
        <f>C52</f>
        <v>532.06020000000001</v>
      </c>
    </row>
    <row r="61" spans="1:3" ht="16.5" thickBot="1" x14ac:dyDescent="0.3">
      <c r="A61" s="190" t="s">
        <v>5</v>
      </c>
      <c r="B61" s="191"/>
      <c r="C61" s="44">
        <f>SUM(C58:C60)</f>
        <v>1698.7653386573334</v>
      </c>
    </row>
    <row r="62" spans="1:3" x14ac:dyDescent="0.25">
      <c r="A62" s="6"/>
    </row>
    <row r="64" spans="1:3" x14ac:dyDescent="0.25">
      <c r="A64" s="192" t="s">
        <v>77</v>
      </c>
      <c r="B64" s="192"/>
      <c r="C64" s="192"/>
    </row>
    <row r="65" spans="1:4" ht="16.5" thickBot="1" x14ac:dyDescent="0.3"/>
    <row r="66" spans="1:4" ht="16.5" thickBot="1" x14ac:dyDescent="0.3">
      <c r="A66" s="28">
        <v>3</v>
      </c>
      <c r="B66" s="83" t="s">
        <v>78</v>
      </c>
      <c r="C66" s="83" t="s">
        <v>63</v>
      </c>
      <c r="D66" s="83" t="s">
        <v>41</v>
      </c>
    </row>
    <row r="67" spans="1:4" ht="16.5" thickBot="1" x14ac:dyDescent="0.3">
      <c r="A67" s="30" t="s">
        <v>42</v>
      </c>
      <c r="B67" s="34" t="s">
        <v>79</v>
      </c>
      <c r="C67" s="53">
        <v>4.1999999999999997E-3</v>
      </c>
      <c r="D67" s="44">
        <f>(C$17)*C67</f>
        <v>8.0317859999999985</v>
      </c>
    </row>
    <row r="68" spans="1:4" ht="16.5" thickBot="1" x14ac:dyDescent="0.3">
      <c r="A68" s="30" t="s">
        <v>44</v>
      </c>
      <c r="B68" s="51" t="s">
        <v>80</v>
      </c>
      <c r="C68" s="54">
        <f>C67*8%</f>
        <v>3.3599999999999998E-4</v>
      </c>
      <c r="D68" s="44">
        <f t="shared" ref="D68:D73" si="1">(C$17)*C68</f>
        <v>0.64254287999999993</v>
      </c>
    </row>
    <row r="69" spans="1:4" ht="16.5" thickBot="1" x14ac:dyDescent="0.3">
      <c r="A69" s="30" t="s">
        <v>46</v>
      </c>
      <c r="B69" s="34" t="s">
        <v>81</v>
      </c>
      <c r="C69" s="52">
        <v>4.3499999999999997E-2</v>
      </c>
      <c r="D69" s="44">
        <f t="shared" si="1"/>
        <v>83.186354999999992</v>
      </c>
    </row>
    <row r="70" spans="1:4" ht="16.5" thickBot="1" x14ac:dyDescent="0.3">
      <c r="A70" s="30" t="s">
        <v>48</v>
      </c>
      <c r="B70" s="34" t="s">
        <v>82</v>
      </c>
      <c r="C70" s="55">
        <v>1.9400000000000001E-2</v>
      </c>
      <c r="D70" s="44">
        <f t="shared" si="1"/>
        <v>37.099201999999998</v>
      </c>
    </row>
    <row r="71" spans="1:4" ht="16.5" thickBot="1" x14ac:dyDescent="0.3">
      <c r="A71" s="30" t="s">
        <v>49</v>
      </c>
      <c r="B71" s="34" t="s">
        <v>83</v>
      </c>
      <c r="C71" s="52">
        <v>7.0000000000000001E-3</v>
      </c>
      <c r="D71" s="44">
        <f t="shared" si="1"/>
        <v>13.38631</v>
      </c>
    </row>
    <row r="72" spans="1:4" ht="16.5" thickBot="1" x14ac:dyDescent="0.3">
      <c r="A72" s="30" t="s">
        <v>51</v>
      </c>
      <c r="B72" s="34" t="s">
        <v>84</v>
      </c>
      <c r="C72" s="52">
        <v>8.0000000000000004E-4</v>
      </c>
      <c r="D72" s="44">
        <f t="shared" si="1"/>
        <v>1.5298640000000001</v>
      </c>
    </row>
    <row r="73" spans="1:4" ht="16.5" thickBot="1" x14ac:dyDescent="0.3">
      <c r="A73" s="190" t="s">
        <v>5</v>
      </c>
      <c r="B73" s="191"/>
      <c r="C73" s="52">
        <f>SUM(C67:C72)</f>
        <v>7.5235999999999997E-2</v>
      </c>
      <c r="D73" s="44">
        <f t="shared" si="1"/>
        <v>143.87605987999999</v>
      </c>
    </row>
    <row r="76" spans="1:4" x14ac:dyDescent="0.25">
      <c r="A76" s="192" t="s">
        <v>85</v>
      </c>
      <c r="B76" s="192"/>
      <c r="C76" s="192"/>
    </row>
    <row r="79" spans="1:4" x14ac:dyDescent="0.25">
      <c r="A79" s="193" t="s">
        <v>86</v>
      </c>
      <c r="B79" s="193"/>
      <c r="C79" s="193"/>
    </row>
    <row r="80" spans="1:4" ht="16.5" thickBot="1" x14ac:dyDescent="0.3">
      <c r="A80" s="27"/>
    </row>
    <row r="81" spans="1:4" ht="16.5" thickBot="1" x14ac:dyDescent="0.3">
      <c r="A81" s="28" t="s">
        <v>87</v>
      </c>
      <c r="B81" s="83" t="s">
        <v>88</v>
      </c>
      <c r="C81" s="83" t="s">
        <v>63</v>
      </c>
      <c r="D81" s="83" t="s">
        <v>41</v>
      </c>
    </row>
    <row r="82" spans="1:4" ht="16.5" thickBot="1" x14ac:dyDescent="0.3">
      <c r="A82" s="30" t="s">
        <v>42</v>
      </c>
      <c r="B82" s="31" t="s">
        <v>6</v>
      </c>
      <c r="C82" s="52">
        <v>8.3299999999999999E-2</v>
      </c>
      <c r="D82" s="44">
        <f>(C$17)*C82</f>
        <v>159.297089</v>
      </c>
    </row>
    <row r="83" spans="1:4" ht="16.5" thickBot="1" x14ac:dyDescent="0.3">
      <c r="A83" s="30" t="s">
        <v>44</v>
      </c>
      <c r="B83" s="31" t="s">
        <v>88</v>
      </c>
      <c r="C83" s="52">
        <v>8.2000000000000007E-3</v>
      </c>
      <c r="D83" s="44">
        <f t="shared" ref="D83:D88" si="2">(C$17)*C83</f>
        <v>15.681106000000002</v>
      </c>
    </row>
    <row r="84" spans="1:4" ht="16.5" thickBot="1" x14ac:dyDescent="0.3">
      <c r="A84" s="30" t="s">
        <v>46</v>
      </c>
      <c r="B84" s="31" t="s">
        <v>89</v>
      </c>
      <c r="C84" s="52">
        <v>2.0000000000000001E-4</v>
      </c>
      <c r="D84" s="44">
        <f t="shared" si="2"/>
        <v>0.38246600000000003</v>
      </c>
    </row>
    <row r="85" spans="1:4" ht="16.5" thickBot="1" x14ac:dyDescent="0.3">
      <c r="A85" s="30" t="s">
        <v>48</v>
      </c>
      <c r="B85" s="31" t="s">
        <v>90</v>
      </c>
      <c r="C85" s="52">
        <v>2.9999999999999997E-4</v>
      </c>
      <c r="D85" s="44">
        <f t="shared" si="2"/>
        <v>0.57369899999999996</v>
      </c>
    </row>
    <row r="86" spans="1:4" ht="16.5" thickBot="1" x14ac:dyDescent="0.3">
      <c r="A86" s="30" t="s">
        <v>49</v>
      </c>
      <c r="B86" s="31" t="s">
        <v>91</v>
      </c>
      <c r="C86" s="52">
        <v>6.1000000000000004E-3</v>
      </c>
      <c r="D86" s="44">
        <f t="shared" si="2"/>
        <v>11.665213</v>
      </c>
    </row>
    <row r="87" spans="1:4" ht="16.5" thickBot="1" x14ac:dyDescent="0.3">
      <c r="A87" s="30" t="s">
        <v>51</v>
      </c>
      <c r="B87" s="31" t="s">
        <v>53</v>
      </c>
      <c r="C87" s="52">
        <v>0</v>
      </c>
      <c r="D87" s="44">
        <f t="shared" si="2"/>
        <v>0</v>
      </c>
    </row>
    <row r="88" spans="1:4" ht="16.5" thickBot="1" x14ac:dyDescent="0.3">
      <c r="A88" s="190" t="s">
        <v>70</v>
      </c>
      <c r="B88" s="191"/>
      <c r="C88" s="52">
        <v>9.8100000000000007E-2</v>
      </c>
      <c r="D88" s="44">
        <f t="shared" si="2"/>
        <v>187.59957299999999</v>
      </c>
    </row>
    <row r="91" spans="1:4" x14ac:dyDescent="0.25">
      <c r="A91" s="193" t="s">
        <v>92</v>
      </c>
      <c r="B91" s="193"/>
      <c r="C91" s="193"/>
    </row>
    <row r="92" spans="1:4" ht="16.5" thickBot="1" x14ac:dyDescent="0.3">
      <c r="A92" s="27"/>
    </row>
    <row r="93" spans="1:4" ht="16.5" thickBot="1" x14ac:dyDescent="0.3">
      <c r="A93" s="28" t="s">
        <v>93</v>
      </c>
      <c r="B93" s="83" t="s">
        <v>94</v>
      </c>
      <c r="C93" s="83" t="s">
        <v>41</v>
      </c>
    </row>
    <row r="94" spans="1:4" ht="16.5" thickBot="1" x14ac:dyDescent="0.3">
      <c r="A94" s="30" t="s">
        <v>42</v>
      </c>
      <c r="B94" s="31" t="s">
        <v>110</v>
      </c>
      <c r="C94" s="43"/>
    </row>
    <row r="95" spans="1:4" ht="16.5" thickBot="1" x14ac:dyDescent="0.3">
      <c r="A95" s="190" t="s">
        <v>5</v>
      </c>
      <c r="B95" s="191"/>
      <c r="C95" s="43"/>
    </row>
    <row r="98" spans="1:3" x14ac:dyDescent="0.25">
      <c r="A98" s="193" t="s">
        <v>95</v>
      </c>
      <c r="B98" s="193"/>
      <c r="C98" s="193"/>
    </row>
    <row r="99" spans="1:3" ht="16.5" thickBot="1" x14ac:dyDescent="0.3">
      <c r="A99" s="27"/>
    </row>
    <row r="100" spans="1:3" ht="16.5" thickBot="1" x14ac:dyDescent="0.3">
      <c r="A100" s="28">
        <v>4</v>
      </c>
      <c r="B100" s="83" t="s">
        <v>96</v>
      </c>
      <c r="C100" s="83" t="s">
        <v>41</v>
      </c>
    </row>
    <row r="101" spans="1:3" ht="16.5" thickBot="1" x14ac:dyDescent="0.3">
      <c r="A101" s="30" t="s">
        <v>87</v>
      </c>
      <c r="B101" s="31" t="s">
        <v>88</v>
      </c>
      <c r="C101" s="44">
        <f>D88</f>
        <v>187.59957299999999</v>
      </c>
    </row>
    <row r="102" spans="1:3" ht="16.5" thickBot="1" x14ac:dyDescent="0.3">
      <c r="A102" s="30" t="s">
        <v>93</v>
      </c>
      <c r="B102" s="31" t="s">
        <v>94</v>
      </c>
      <c r="C102" s="44">
        <f>C95</f>
        <v>0</v>
      </c>
    </row>
    <row r="103" spans="1:3" ht="16.5" thickBot="1" x14ac:dyDescent="0.3">
      <c r="A103" s="190" t="s">
        <v>5</v>
      </c>
      <c r="B103" s="191"/>
      <c r="C103" s="64">
        <f>C101+C102</f>
        <v>187.59957299999999</v>
      </c>
    </row>
    <row r="106" spans="1:3" x14ac:dyDescent="0.25">
      <c r="A106" s="192" t="s">
        <v>97</v>
      </c>
      <c r="B106" s="192"/>
      <c r="C106" s="192"/>
    </row>
    <row r="107" spans="1:3" ht="16.5" thickBot="1" x14ac:dyDescent="0.3"/>
    <row r="108" spans="1:3" ht="16.5" thickBot="1" x14ac:dyDescent="0.3">
      <c r="A108" s="28">
        <v>5</v>
      </c>
      <c r="B108" s="35" t="s">
        <v>24</v>
      </c>
      <c r="C108" s="83" t="s">
        <v>41</v>
      </c>
    </row>
    <row r="109" spans="1:3" ht="16.5" thickBot="1" x14ac:dyDescent="0.3">
      <c r="A109" s="30" t="s">
        <v>42</v>
      </c>
      <c r="B109" s="31" t="s">
        <v>98</v>
      </c>
      <c r="C109" s="44">
        <f>'Planilhas de Apoio'!C39</f>
        <v>86.948888888888902</v>
      </c>
    </row>
    <row r="110" spans="1:3" ht="16.5" thickBot="1" x14ac:dyDescent="0.3">
      <c r="A110" s="30" t="s">
        <v>44</v>
      </c>
      <c r="B110" s="31" t="s">
        <v>310</v>
      </c>
      <c r="C110" s="44">
        <f>'Planilhas de Apoio'!J107</f>
        <v>24.566388888888891</v>
      </c>
    </row>
    <row r="111" spans="1:3" ht="16.5" thickBot="1" x14ac:dyDescent="0.3">
      <c r="A111" s="30" t="s">
        <v>46</v>
      </c>
      <c r="B111" s="31" t="s">
        <v>320</v>
      </c>
      <c r="C111" s="44">
        <f>'Planilhas de Apoio'!J131</f>
        <v>29.343444444444447</v>
      </c>
    </row>
    <row r="112" spans="1:3" ht="16.5" thickBot="1" x14ac:dyDescent="0.3">
      <c r="A112" s="30" t="s">
        <v>48</v>
      </c>
      <c r="B112" s="31" t="s">
        <v>317</v>
      </c>
      <c r="C112" s="44">
        <v>0</v>
      </c>
    </row>
    <row r="113" spans="1:4" ht="16.5" thickBot="1" x14ac:dyDescent="0.3">
      <c r="A113" s="190" t="s">
        <v>70</v>
      </c>
      <c r="B113" s="191"/>
      <c r="C113" s="44">
        <f>SUM(C109:C112)</f>
        <v>140.85872222222224</v>
      </c>
    </row>
    <row r="116" spans="1:4" x14ac:dyDescent="0.25">
      <c r="A116" s="192" t="s">
        <v>101</v>
      </c>
      <c r="B116" s="192"/>
      <c r="C116" s="192"/>
    </row>
    <row r="117" spans="1:4" ht="16.5" thickBot="1" x14ac:dyDescent="0.3"/>
    <row r="118" spans="1:4" ht="16.5" thickBot="1" x14ac:dyDescent="0.3">
      <c r="A118" s="28">
        <v>6</v>
      </c>
      <c r="B118" s="35" t="s">
        <v>25</v>
      </c>
      <c r="C118" s="83" t="s">
        <v>63</v>
      </c>
      <c r="D118" s="83" t="s">
        <v>41</v>
      </c>
    </row>
    <row r="119" spans="1:4" ht="16.5" thickBot="1" x14ac:dyDescent="0.3">
      <c r="A119" s="30" t="s">
        <v>42</v>
      </c>
      <c r="B119" s="68" t="s">
        <v>26</v>
      </c>
      <c r="C119" s="188">
        <v>9.0999999999999998E-2</v>
      </c>
      <c r="D119" s="70">
        <f>C119*C138</f>
        <v>371.59210213211952</v>
      </c>
    </row>
    <row r="120" spans="1:4" ht="16.5" thickBot="1" x14ac:dyDescent="0.3">
      <c r="A120" s="30" t="s">
        <v>44</v>
      </c>
      <c r="B120" s="68" t="s">
        <v>28</v>
      </c>
      <c r="C120" s="188">
        <v>5.8999999999999997E-2</v>
      </c>
      <c r="D120" s="70">
        <f>C120*(C138+D119)</f>
        <v>262.84628595760881</v>
      </c>
    </row>
    <row r="121" spans="1:4" ht="16.5" thickBot="1" x14ac:dyDescent="0.3">
      <c r="A121" s="30" t="s">
        <v>46</v>
      </c>
      <c r="B121" s="31" t="s">
        <v>27</v>
      </c>
      <c r="C121" s="33"/>
      <c r="D121" s="44">
        <f>(C$17+C$61+D$73+C$103+C$113)*C121</f>
        <v>0</v>
      </c>
    </row>
    <row r="122" spans="1:4" ht="16.5" thickBot="1" x14ac:dyDescent="0.3">
      <c r="A122" s="30"/>
      <c r="B122" s="68" t="s">
        <v>114</v>
      </c>
      <c r="C122" s="69">
        <f>C123+C124</f>
        <v>9.2499999999999999E-2</v>
      </c>
      <c r="D122" s="70">
        <f>C122*(C$138+D$119+D$120)</f>
        <v>436.40279757105867</v>
      </c>
    </row>
    <row r="123" spans="1:4" ht="16.5" thickBot="1" x14ac:dyDescent="0.3">
      <c r="A123" s="30"/>
      <c r="B123" s="31" t="s">
        <v>112</v>
      </c>
      <c r="C123" s="33">
        <v>7.5999999999999998E-2</v>
      </c>
      <c r="D123" s="44">
        <f>C123*(C$138+D$119+D$120)</f>
        <v>358.55797422054547</v>
      </c>
    </row>
    <row r="124" spans="1:4" ht="16.5" thickBot="1" x14ac:dyDescent="0.3">
      <c r="A124" s="30"/>
      <c r="B124" s="31" t="s">
        <v>113</v>
      </c>
      <c r="C124" s="33">
        <v>1.6500000000000001E-2</v>
      </c>
      <c r="D124" s="44">
        <f>C124*(C$138+D$119+D$120)</f>
        <v>77.844823350513167</v>
      </c>
    </row>
    <row r="125" spans="1:4" ht="16.5" thickBot="1" x14ac:dyDescent="0.3">
      <c r="A125" s="30"/>
      <c r="B125" s="68" t="s">
        <v>115</v>
      </c>
      <c r="C125" s="69">
        <v>0</v>
      </c>
      <c r="D125" s="70">
        <f>C125*(C$138+D$119+D$120)</f>
        <v>0</v>
      </c>
    </row>
    <row r="126" spans="1:4" ht="16.5" thickBot="1" x14ac:dyDescent="0.3">
      <c r="A126" s="30"/>
      <c r="B126" s="68" t="s">
        <v>116</v>
      </c>
      <c r="C126" s="69">
        <v>0.05</v>
      </c>
      <c r="D126" s="70">
        <f>C126*(C$138+D$119+D$120)</f>
        <v>235.89340409246415</v>
      </c>
    </row>
    <row r="127" spans="1:4" ht="16.5" thickBot="1" x14ac:dyDescent="0.3">
      <c r="A127" s="194" t="s">
        <v>70</v>
      </c>
      <c r="B127" s="195"/>
      <c r="C127" s="69">
        <f>C119+C120+C122+C125+C126</f>
        <v>0.29249999999999998</v>
      </c>
      <c r="D127" s="70">
        <f>D119+D120+D122+D125+D126</f>
        <v>1306.7345897532512</v>
      </c>
    </row>
    <row r="130" spans="1:3" x14ac:dyDescent="0.25">
      <c r="A130" s="192" t="s">
        <v>102</v>
      </c>
      <c r="B130" s="192"/>
      <c r="C130" s="192"/>
    </row>
    <row r="131" spans="1:3" ht="16.5" thickBot="1" x14ac:dyDescent="0.3"/>
    <row r="132" spans="1:3" ht="16.5" thickBot="1" x14ac:dyDescent="0.3">
      <c r="A132" s="28"/>
      <c r="B132" s="83" t="s">
        <v>103</v>
      </c>
      <c r="C132" s="83" t="s">
        <v>41</v>
      </c>
    </row>
    <row r="133" spans="1:3" ht="16.5" thickBot="1" x14ac:dyDescent="0.3">
      <c r="A133" s="37" t="s">
        <v>42</v>
      </c>
      <c r="B133" s="31" t="s">
        <v>39</v>
      </c>
      <c r="C133" s="67">
        <f>C17</f>
        <v>1912.33</v>
      </c>
    </row>
    <row r="134" spans="1:3" ht="16.5" thickBot="1" x14ac:dyDescent="0.3">
      <c r="A134" s="37" t="s">
        <v>44</v>
      </c>
      <c r="B134" s="31" t="s">
        <v>54</v>
      </c>
      <c r="C134" s="67">
        <f>C61</f>
        <v>1698.7653386573334</v>
      </c>
    </row>
    <row r="135" spans="1:3" ht="16.5" thickBot="1" x14ac:dyDescent="0.3">
      <c r="A135" s="37" t="s">
        <v>46</v>
      </c>
      <c r="B135" s="31" t="s">
        <v>77</v>
      </c>
      <c r="C135" s="67">
        <f>D73</f>
        <v>143.87605987999999</v>
      </c>
    </row>
    <row r="136" spans="1:3" ht="16.5" thickBot="1" x14ac:dyDescent="0.3">
      <c r="A136" s="37" t="s">
        <v>48</v>
      </c>
      <c r="B136" s="31" t="s">
        <v>85</v>
      </c>
      <c r="C136" s="67">
        <f>D88</f>
        <v>187.59957299999999</v>
      </c>
    </row>
    <row r="137" spans="1:3" ht="16.5" thickBot="1" x14ac:dyDescent="0.3">
      <c r="A137" s="37" t="s">
        <v>49</v>
      </c>
      <c r="B137" s="31" t="s">
        <v>97</v>
      </c>
      <c r="C137" s="67">
        <f>C113</f>
        <v>140.85872222222224</v>
      </c>
    </row>
    <row r="138" spans="1:3" ht="16.5" customHeight="1" thickBot="1" x14ac:dyDescent="0.3">
      <c r="A138" s="190" t="s">
        <v>104</v>
      </c>
      <c r="B138" s="191"/>
      <c r="C138" s="67">
        <f>SUM(C133:C137)</f>
        <v>4083.4296937595554</v>
      </c>
    </row>
    <row r="139" spans="1:3" ht="16.5" thickBot="1" x14ac:dyDescent="0.3">
      <c r="A139" s="37" t="s">
        <v>51</v>
      </c>
      <c r="B139" s="31" t="s">
        <v>105</v>
      </c>
      <c r="C139" s="67">
        <f>D127</f>
        <v>1306.7345897532512</v>
      </c>
    </row>
    <row r="140" spans="1:3" ht="16.5" customHeight="1" thickBot="1" x14ac:dyDescent="0.3">
      <c r="A140" s="190" t="s">
        <v>106</v>
      </c>
      <c r="B140" s="191"/>
      <c r="C140" s="71">
        <f>C138+C139</f>
        <v>5390.1642835128068</v>
      </c>
    </row>
  </sheetData>
  <mergeCells count="34">
    <mergeCell ref="A27:B27"/>
    <mergeCell ref="A1:D1"/>
    <mergeCell ref="A2:D2"/>
    <mergeCell ref="A3:D3"/>
    <mergeCell ref="B4:C4"/>
    <mergeCell ref="B5:C5"/>
    <mergeCell ref="B6:C6"/>
    <mergeCell ref="A7:C7"/>
    <mergeCell ref="A17:B17"/>
    <mergeCell ref="A18:C19"/>
    <mergeCell ref="A20:C20"/>
    <mergeCell ref="A22:C22"/>
    <mergeCell ref="A91:C91"/>
    <mergeCell ref="A30:D30"/>
    <mergeCell ref="A41:B41"/>
    <mergeCell ref="A44:C44"/>
    <mergeCell ref="A52:B52"/>
    <mergeCell ref="A55:C55"/>
    <mergeCell ref="A61:B61"/>
    <mergeCell ref="A64:C64"/>
    <mergeCell ref="A73:B73"/>
    <mergeCell ref="A76:C76"/>
    <mergeCell ref="A79:C79"/>
    <mergeCell ref="A88:B88"/>
    <mergeCell ref="A127:B127"/>
    <mergeCell ref="A130:C130"/>
    <mergeCell ref="A138:B138"/>
    <mergeCell ref="A140:B140"/>
    <mergeCell ref="A95:B95"/>
    <mergeCell ref="A98:C98"/>
    <mergeCell ref="A103:B103"/>
    <mergeCell ref="A106:C106"/>
    <mergeCell ref="A113:B113"/>
    <mergeCell ref="A116:C1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showGridLines="0" topLeftCell="A111" zoomScaleNormal="100" workbookViewId="0">
      <selection activeCell="C119" sqref="C119:C120"/>
    </sheetView>
  </sheetViews>
  <sheetFormatPr defaultRowHeight="15.75" x14ac:dyDescent="0.25"/>
  <cols>
    <col min="1" max="1" width="16.28515625" style="36" customWidth="1"/>
    <col min="2" max="2" width="72.140625" style="36" customWidth="1"/>
    <col min="3" max="3" width="18" style="36" customWidth="1"/>
    <col min="4" max="4" width="14.28515625" style="36" customWidth="1"/>
    <col min="5" max="5" width="12.7109375" style="36" customWidth="1"/>
    <col min="6" max="6" width="12" style="36" customWidth="1"/>
    <col min="7" max="7" width="15.140625" style="36" customWidth="1"/>
    <col min="8" max="16384" width="9.140625" style="36"/>
  </cols>
  <sheetData>
    <row r="1" spans="1:4" ht="23.25" x14ac:dyDescent="0.35">
      <c r="A1" s="200" t="s">
        <v>107</v>
      </c>
      <c r="B1" s="200"/>
      <c r="C1" s="200"/>
      <c r="D1" s="200"/>
    </row>
    <row r="2" spans="1:4" ht="23.25" x14ac:dyDescent="0.35">
      <c r="A2" s="200" t="s">
        <v>108</v>
      </c>
      <c r="B2" s="200"/>
      <c r="C2" s="200"/>
      <c r="D2" s="200"/>
    </row>
    <row r="3" spans="1:4" ht="27.75" customHeight="1" x14ac:dyDescent="0.25">
      <c r="A3" s="202" t="s">
        <v>109</v>
      </c>
      <c r="B3" s="202"/>
      <c r="C3" s="202"/>
      <c r="D3" s="202"/>
    </row>
    <row r="4" spans="1:4" x14ac:dyDescent="0.25">
      <c r="A4" s="57" t="s">
        <v>117</v>
      </c>
      <c r="B4" s="197" t="s">
        <v>373</v>
      </c>
      <c r="C4" s="197"/>
    </row>
    <row r="5" spans="1:4" x14ac:dyDescent="0.25">
      <c r="A5" s="57" t="s">
        <v>118</v>
      </c>
      <c r="B5" s="197" t="s">
        <v>139</v>
      </c>
      <c r="C5" s="197"/>
    </row>
    <row r="6" spans="1:4" x14ac:dyDescent="0.25">
      <c r="A6" s="57" t="s">
        <v>119</v>
      </c>
      <c r="B6" s="197" t="s">
        <v>352</v>
      </c>
      <c r="C6" s="197"/>
    </row>
    <row r="7" spans="1:4" x14ac:dyDescent="0.25">
      <c r="A7" s="201" t="s">
        <v>39</v>
      </c>
      <c r="B7" s="201"/>
      <c r="C7" s="201"/>
    </row>
    <row r="8" spans="1:4" ht="16.5" thickBot="1" x14ac:dyDescent="0.3"/>
    <row r="9" spans="1:4" ht="16.5" thickBot="1" x14ac:dyDescent="0.3">
      <c r="A9" s="28">
        <v>1</v>
      </c>
      <c r="B9" s="74" t="s">
        <v>40</v>
      </c>
      <c r="C9" s="74" t="s">
        <v>41</v>
      </c>
    </row>
    <row r="10" spans="1:4" ht="16.5" thickBot="1" x14ac:dyDescent="0.3">
      <c r="A10" s="30" t="s">
        <v>42</v>
      </c>
      <c r="B10" s="31" t="s">
        <v>43</v>
      </c>
      <c r="C10" s="44">
        <v>1626.13</v>
      </c>
    </row>
    <row r="11" spans="1:4" ht="16.5" thickBot="1" x14ac:dyDescent="0.3">
      <c r="A11" s="30" t="s">
        <v>44</v>
      </c>
      <c r="B11" s="31" t="s">
        <v>45</v>
      </c>
      <c r="C11" s="44"/>
    </row>
    <row r="12" spans="1:4" ht="16.5" thickBot="1" x14ac:dyDescent="0.3">
      <c r="A12" s="30" t="s">
        <v>46</v>
      </c>
      <c r="B12" s="31" t="s">
        <v>47</v>
      </c>
      <c r="C12" s="44"/>
    </row>
    <row r="13" spans="1:4" ht="16.5" thickBot="1" x14ac:dyDescent="0.3">
      <c r="A13" s="30" t="s">
        <v>48</v>
      </c>
      <c r="B13" s="31" t="s">
        <v>4</v>
      </c>
      <c r="C13" s="44"/>
    </row>
    <row r="14" spans="1:4" ht="16.5" thickBot="1" x14ac:dyDescent="0.3">
      <c r="A14" s="30" t="s">
        <v>49</v>
      </c>
      <c r="B14" s="31" t="s">
        <v>50</v>
      </c>
      <c r="C14" s="84"/>
    </row>
    <row r="15" spans="1:4" ht="16.5" thickBot="1" x14ac:dyDescent="0.3">
      <c r="A15" s="30" t="s">
        <v>51</v>
      </c>
      <c r="B15" s="60"/>
      <c r="C15" s="57"/>
    </row>
    <row r="16" spans="1:4" ht="32.25" thickBot="1" x14ac:dyDescent="0.3">
      <c r="A16" s="30" t="s">
        <v>52</v>
      </c>
      <c r="B16" s="60" t="s">
        <v>353</v>
      </c>
      <c r="C16" s="85">
        <f>0.15*C10</f>
        <v>243.9195</v>
      </c>
    </row>
    <row r="17" spans="1:4" ht="16.5" thickBot="1" x14ac:dyDescent="0.3">
      <c r="A17" s="190" t="s">
        <v>5</v>
      </c>
      <c r="B17" s="191"/>
      <c r="C17" s="64">
        <f>SUM(C10:C16)</f>
        <v>1870.0495000000001</v>
      </c>
    </row>
    <row r="18" spans="1:4" x14ac:dyDescent="0.25">
      <c r="A18" s="198" t="s">
        <v>145</v>
      </c>
      <c r="B18" s="198"/>
      <c r="C18" s="198"/>
    </row>
    <row r="19" spans="1:4" ht="18.75" customHeight="1" x14ac:dyDescent="0.25">
      <c r="A19" s="199"/>
      <c r="B19" s="199"/>
      <c r="C19" s="199"/>
    </row>
    <row r="20" spans="1:4" x14ac:dyDescent="0.25">
      <c r="A20" s="192" t="s">
        <v>54</v>
      </c>
      <c r="B20" s="192"/>
      <c r="C20" s="192"/>
    </row>
    <row r="21" spans="1:4" x14ac:dyDescent="0.25">
      <c r="A21" s="27"/>
    </row>
    <row r="22" spans="1:4" x14ac:dyDescent="0.25">
      <c r="A22" s="193" t="s">
        <v>55</v>
      </c>
      <c r="B22" s="193"/>
      <c r="C22" s="193"/>
    </row>
    <row r="23" spans="1:4" ht="16.5" thickBot="1" x14ac:dyDescent="0.3"/>
    <row r="24" spans="1:4" ht="16.5" thickBot="1" x14ac:dyDescent="0.3">
      <c r="A24" s="28" t="s">
        <v>56</v>
      </c>
      <c r="B24" s="74" t="s">
        <v>57</v>
      </c>
      <c r="C24" s="74" t="s">
        <v>63</v>
      </c>
      <c r="D24" s="74" t="s">
        <v>41</v>
      </c>
    </row>
    <row r="25" spans="1:4" ht="16.5" thickBot="1" x14ac:dyDescent="0.3">
      <c r="A25" s="30" t="s">
        <v>42</v>
      </c>
      <c r="B25" s="60" t="s">
        <v>58</v>
      </c>
      <c r="C25" s="56">
        <f>1/12</f>
        <v>8.3333333333333329E-2</v>
      </c>
      <c r="D25" s="61">
        <f>C$17*C25</f>
        <v>155.83745833333333</v>
      </c>
    </row>
    <row r="26" spans="1:4" ht="16.5" thickBot="1" x14ac:dyDescent="0.3">
      <c r="A26" s="30" t="s">
        <v>44</v>
      </c>
      <c r="B26" s="58" t="s">
        <v>59</v>
      </c>
      <c r="C26" s="62">
        <v>0.1111</v>
      </c>
      <c r="D26" s="63">
        <f>C$17*C26</f>
        <v>207.76249945000001</v>
      </c>
    </row>
    <row r="27" spans="1:4" ht="16.5" thickBot="1" x14ac:dyDescent="0.3">
      <c r="A27" s="190" t="s">
        <v>5</v>
      </c>
      <c r="B27" s="191"/>
      <c r="C27" s="65">
        <f>SUM(C25:C26)</f>
        <v>0.19443333333333335</v>
      </c>
      <c r="D27" s="66">
        <f>C$17*C27</f>
        <v>363.59995778333337</v>
      </c>
    </row>
    <row r="30" spans="1:4" ht="32.25" customHeight="1" x14ac:dyDescent="0.25">
      <c r="A30" s="196" t="s">
        <v>60</v>
      </c>
      <c r="B30" s="196"/>
      <c r="C30" s="196"/>
      <c r="D30" s="196"/>
    </row>
    <row r="31" spans="1:4" ht="16.5" thickBot="1" x14ac:dyDescent="0.3"/>
    <row r="32" spans="1:4" ht="16.5" thickBot="1" x14ac:dyDescent="0.3">
      <c r="A32" s="28" t="s">
        <v>61</v>
      </c>
      <c r="B32" s="74" t="s">
        <v>62</v>
      </c>
      <c r="C32" s="74" t="s">
        <v>63</v>
      </c>
      <c r="D32" s="74" t="s">
        <v>41</v>
      </c>
    </row>
    <row r="33" spans="1:4" ht="16.5" thickBot="1" x14ac:dyDescent="0.3">
      <c r="A33" s="30" t="s">
        <v>42</v>
      </c>
      <c r="B33" s="31" t="s">
        <v>64</v>
      </c>
      <c r="C33" s="33">
        <v>0.2</v>
      </c>
      <c r="D33" s="63">
        <f t="shared" ref="D33:D41" si="0">(D$27+C$17)*C33</f>
        <v>446.72989155666676</v>
      </c>
    </row>
    <row r="34" spans="1:4" ht="16.5" thickBot="1" x14ac:dyDescent="0.3">
      <c r="A34" s="30" t="s">
        <v>44</v>
      </c>
      <c r="B34" s="31" t="s">
        <v>65</v>
      </c>
      <c r="C34" s="33">
        <v>2.5000000000000001E-2</v>
      </c>
      <c r="D34" s="63">
        <f t="shared" si="0"/>
        <v>55.841236444583345</v>
      </c>
    </row>
    <row r="35" spans="1:4" ht="16.5" thickBot="1" x14ac:dyDescent="0.3">
      <c r="A35" s="30" t="s">
        <v>46</v>
      </c>
      <c r="B35" s="31" t="s">
        <v>66</v>
      </c>
      <c r="C35" s="45">
        <v>0.01</v>
      </c>
      <c r="D35" s="63">
        <f t="shared" si="0"/>
        <v>22.336494577833339</v>
      </c>
    </row>
    <row r="36" spans="1:4" ht="16.5" thickBot="1" x14ac:dyDescent="0.3">
      <c r="A36" s="30" t="s">
        <v>48</v>
      </c>
      <c r="B36" s="31" t="s">
        <v>67</v>
      </c>
      <c r="C36" s="33">
        <v>1.4999999999999999E-2</v>
      </c>
      <c r="D36" s="63">
        <f t="shared" si="0"/>
        <v>33.504741866750003</v>
      </c>
    </row>
    <row r="37" spans="1:4" ht="16.5" thickBot="1" x14ac:dyDescent="0.3">
      <c r="A37" s="30" t="s">
        <v>49</v>
      </c>
      <c r="B37" s="31" t="s">
        <v>68</v>
      </c>
      <c r="C37" s="33">
        <v>0.01</v>
      </c>
      <c r="D37" s="63">
        <f t="shared" si="0"/>
        <v>22.336494577833339</v>
      </c>
    </row>
    <row r="38" spans="1:4" ht="16.5" thickBot="1" x14ac:dyDescent="0.3">
      <c r="A38" s="30" t="s">
        <v>51</v>
      </c>
      <c r="B38" s="31" t="s">
        <v>7</v>
      </c>
      <c r="C38" s="33">
        <v>6.0000000000000001E-3</v>
      </c>
      <c r="D38" s="63">
        <f t="shared" si="0"/>
        <v>13.401896746700002</v>
      </c>
    </row>
    <row r="39" spans="1:4" ht="16.5" thickBot="1" x14ac:dyDescent="0.3">
      <c r="A39" s="30" t="s">
        <v>52</v>
      </c>
      <c r="B39" s="31" t="s">
        <v>8</v>
      </c>
      <c r="C39" s="33">
        <v>2E-3</v>
      </c>
      <c r="D39" s="63">
        <f t="shared" si="0"/>
        <v>4.4672989155666674</v>
      </c>
    </row>
    <row r="40" spans="1:4" ht="16.5" thickBot="1" x14ac:dyDescent="0.3">
      <c r="A40" s="30" t="s">
        <v>69</v>
      </c>
      <c r="B40" s="31" t="s">
        <v>9</v>
      </c>
      <c r="C40" s="33">
        <v>0.08</v>
      </c>
      <c r="D40" s="63">
        <f t="shared" si="0"/>
        <v>178.69195662266671</v>
      </c>
    </row>
    <row r="41" spans="1:4" ht="16.5" thickBot="1" x14ac:dyDescent="0.3">
      <c r="A41" s="190" t="s">
        <v>70</v>
      </c>
      <c r="B41" s="191"/>
      <c r="C41" s="33">
        <f>SUM(C33:C40)</f>
        <v>0.34800000000000003</v>
      </c>
      <c r="D41" s="63">
        <f t="shared" si="0"/>
        <v>777.31001130860022</v>
      </c>
    </row>
    <row r="44" spans="1:4" x14ac:dyDescent="0.25">
      <c r="A44" s="193" t="s">
        <v>71</v>
      </c>
      <c r="B44" s="193"/>
      <c r="C44" s="193"/>
    </row>
    <row r="45" spans="1:4" ht="16.5" thickBot="1" x14ac:dyDescent="0.3"/>
    <row r="46" spans="1:4" ht="16.5" thickBot="1" x14ac:dyDescent="0.3">
      <c r="A46" s="28" t="s">
        <v>72</v>
      </c>
      <c r="B46" s="74" t="s">
        <v>73</v>
      </c>
      <c r="C46" s="74" t="s">
        <v>41</v>
      </c>
    </row>
    <row r="47" spans="1:4" ht="16.5" thickBot="1" x14ac:dyDescent="0.3">
      <c r="A47" s="30" t="s">
        <v>42</v>
      </c>
      <c r="B47" s="31" t="s">
        <v>74</v>
      </c>
      <c r="C47" s="44">
        <v>0</v>
      </c>
    </row>
    <row r="48" spans="1:4" ht="16.5" thickBot="1" x14ac:dyDescent="0.3">
      <c r="A48" s="30" t="s">
        <v>44</v>
      </c>
      <c r="B48" s="31" t="s">
        <v>120</v>
      </c>
      <c r="C48" s="44">
        <f>'Planilhas de Apoio'!D22</f>
        <v>462</v>
      </c>
    </row>
    <row r="49" spans="1:3" ht="16.5" thickBot="1" x14ac:dyDescent="0.3">
      <c r="A49" s="30" t="s">
        <v>46</v>
      </c>
      <c r="B49" s="31" t="s">
        <v>131</v>
      </c>
      <c r="C49" s="44">
        <v>0</v>
      </c>
    </row>
    <row r="50" spans="1:3" ht="16.5" thickBot="1" x14ac:dyDescent="0.3">
      <c r="A50" s="73" t="s">
        <v>48</v>
      </c>
      <c r="B50" s="72" t="s">
        <v>121</v>
      </c>
      <c r="C50" s="44"/>
    </row>
    <row r="51" spans="1:3" ht="16.5" thickBot="1" x14ac:dyDescent="0.3">
      <c r="A51" s="73" t="s">
        <v>49</v>
      </c>
      <c r="B51" s="59" t="s">
        <v>138</v>
      </c>
      <c r="C51" s="44">
        <f>'Planilhas de Apoio'!E3</f>
        <v>4667.7</v>
      </c>
    </row>
    <row r="52" spans="1:3" ht="16.5" thickBot="1" x14ac:dyDescent="0.3">
      <c r="A52" s="203" t="s">
        <v>5</v>
      </c>
      <c r="B52" s="204"/>
      <c r="C52" s="44">
        <f>SUM(C47:C51)</f>
        <v>5129.7</v>
      </c>
    </row>
    <row r="55" spans="1:3" x14ac:dyDescent="0.25">
      <c r="A55" s="193" t="s">
        <v>75</v>
      </c>
      <c r="B55" s="193"/>
      <c r="C55" s="193"/>
    </row>
    <row r="56" spans="1:3" ht="16.5" thickBot="1" x14ac:dyDescent="0.3"/>
    <row r="57" spans="1:3" ht="16.5" thickBot="1" x14ac:dyDescent="0.3">
      <c r="A57" s="28">
        <v>2</v>
      </c>
      <c r="B57" s="74" t="s">
        <v>76</v>
      </c>
      <c r="C57" s="74" t="s">
        <v>41</v>
      </c>
    </row>
    <row r="58" spans="1:3" ht="16.5" thickBot="1" x14ac:dyDescent="0.3">
      <c r="A58" s="30" t="s">
        <v>56</v>
      </c>
      <c r="B58" s="31" t="s">
        <v>57</v>
      </c>
      <c r="C58" s="44">
        <f>D27</f>
        <v>363.59995778333337</v>
      </c>
    </row>
    <row r="59" spans="1:3" ht="16.5" thickBot="1" x14ac:dyDescent="0.3">
      <c r="A59" s="30" t="s">
        <v>61</v>
      </c>
      <c r="B59" s="31" t="s">
        <v>62</v>
      </c>
      <c r="C59" s="44">
        <f>D41</f>
        <v>777.31001130860022</v>
      </c>
    </row>
    <row r="60" spans="1:3" ht="16.5" thickBot="1" x14ac:dyDescent="0.3">
      <c r="A60" s="30" t="s">
        <v>72</v>
      </c>
      <c r="B60" s="31" t="s">
        <v>73</v>
      </c>
      <c r="C60" s="44">
        <f>C52</f>
        <v>5129.7</v>
      </c>
    </row>
    <row r="61" spans="1:3" ht="16.5" thickBot="1" x14ac:dyDescent="0.3">
      <c r="A61" s="190" t="s">
        <v>5</v>
      </c>
      <c r="B61" s="191"/>
      <c r="C61" s="44">
        <f>SUM(C58:C60)</f>
        <v>6270.6099690919336</v>
      </c>
    </row>
    <row r="62" spans="1:3" x14ac:dyDescent="0.25">
      <c r="A62" s="6"/>
    </row>
    <row r="64" spans="1:3" x14ac:dyDescent="0.25">
      <c r="A64" s="192" t="s">
        <v>77</v>
      </c>
      <c r="B64" s="192"/>
      <c r="C64" s="192"/>
    </row>
    <row r="65" spans="1:4" ht="16.5" thickBot="1" x14ac:dyDescent="0.3"/>
    <row r="66" spans="1:4" ht="16.5" thickBot="1" x14ac:dyDescent="0.3">
      <c r="A66" s="28">
        <v>3</v>
      </c>
      <c r="B66" s="74" t="s">
        <v>78</v>
      </c>
      <c r="C66" s="74" t="s">
        <v>63</v>
      </c>
      <c r="D66" s="74" t="s">
        <v>41</v>
      </c>
    </row>
    <row r="67" spans="1:4" ht="16.5" thickBot="1" x14ac:dyDescent="0.3">
      <c r="A67" s="30" t="s">
        <v>42</v>
      </c>
      <c r="B67" s="34" t="s">
        <v>79</v>
      </c>
      <c r="C67" s="53">
        <v>4.1999999999999997E-3</v>
      </c>
      <c r="D67" s="44">
        <f>(C$17)*C67</f>
        <v>7.8542078999999996</v>
      </c>
    </row>
    <row r="68" spans="1:4" ht="16.5" thickBot="1" x14ac:dyDescent="0.3">
      <c r="A68" s="30" t="s">
        <v>44</v>
      </c>
      <c r="B68" s="51" t="s">
        <v>80</v>
      </c>
      <c r="C68" s="54">
        <f>C67*8%</f>
        <v>3.3599999999999998E-4</v>
      </c>
      <c r="D68" s="44">
        <f t="shared" ref="D68:D73" si="1">(C$17)*C68</f>
        <v>0.62833663200000001</v>
      </c>
    </row>
    <row r="69" spans="1:4" ht="16.5" thickBot="1" x14ac:dyDescent="0.3">
      <c r="A69" s="30" t="s">
        <v>46</v>
      </c>
      <c r="B69" s="34" t="s">
        <v>81</v>
      </c>
      <c r="C69" s="52">
        <v>4.3499999999999997E-2</v>
      </c>
      <c r="D69" s="44">
        <f t="shared" si="1"/>
        <v>81.347153249999991</v>
      </c>
    </row>
    <row r="70" spans="1:4" ht="16.5" thickBot="1" x14ac:dyDescent="0.3">
      <c r="A70" s="30" t="s">
        <v>48</v>
      </c>
      <c r="B70" s="34" t="s">
        <v>82</v>
      </c>
      <c r="C70" s="55">
        <v>1.9400000000000001E-2</v>
      </c>
      <c r="D70" s="44">
        <f t="shared" si="1"/>
        <v>36.278960300000001</v>
      </c>
    </row>
    <row r="71" spans="1:4" ht="16.5" thickBot="1" x14ac:dyDescent="0.3">
      <c r="A71" s="30" t="s">
        <v>49</v>
      </c>
      <c r="B71" s="34" t="s">
        <v>83</v>
      </c>
      <c r="C71" s="52">
        <v>7.0000000000000001E-3</v>
      </c>
      <c r="D71" s="44">
        <f t="shared" si="1"/>
        <v>13.090346500000001</v>
      </c>
    </row>
    <row r="72" spans="1:4" ht="16.5" thickBot="1" x14ac:dyDescent="0.3">
      <c r="A72" s="30" t="s">
        <v>51</v>
      </c>
      <c r="B72" s="34" t="s">
        <v>84</v>
      </c>
      <c r="C72" s="52">
        <v>8.0000000000000004E-4</v>
      </c>
      <c r="D72" s="44">
        <f t="shared" si="1"/>
        <v>1.4960396</v>
      </c>
    </row>
    <row r="73" spans="1:4" ht="16.5" thickBot="1" x14ac:dyDescent="0.3">
      <c r="A73" s="190" t="s">
        <v>5</v>
      </c>
      <c r="B73" s="191"/>
      <c r="C73" s="52">
        <f>SUM(C67:C72)</f>
        <v>7.5235999999999997E-2</v>
      </c>
      <c r="D73" s="44">
        <f t="shared" si="1"/>
        <v>140.695044182</v>
      </c>
    </row>
    <row r="76" spans="1:4" x14ac:dyDescent="0.25">
      <c r="A76" s="192" t="s">
        <v>85</v>
      </c>
      <c r="B76" s="192"/>
      <c r="C76" s="192"/>
    </row>
    <row r="79" spans="1:4" x14ac:dyDescent="0.25">
      <c r="A79" s="193" t="s">
        <v>86</v>
      </c>
      <c r="B79" s="193"/>
      <c r="C79" s="193"/>
    </row>
    <row r="80" spans="1:4" ht="16.5" thickBot="1" x14ac:dyDescent="0.3">
      <c r="A80" s="27"/>
    </row>
    <row r="81" spans="1:4" ht="16.5" thickBot="1" x14ac:dyDescent="0.3">
      <c r="A81" s="28" t="s">
        <v>87</v>
      </c>
      <c r="B81" s="74" t="s">
        <v>88</v>
      </c>
      <c r="C81" s="74" t="s">
        <v>63</v>
      </c>
      <c r="D81" s="74" t="s">
        <v>41</v>
      </c>
    </row>
    <row r="82" spans="1:4" ht="16.5" thickBot="1" x14ac:dyDescent="0.3">
      <c r="A82" s="30" t="s">
        <v>42</v>
      </c>
      <c r="B82" s="31" t="s">
        <v>6</v>
      </c>
      <c r="C82" s="52">
        <v>8.3299999999999999E-2</v>
      </c>
      <c r="D82" s="44">
        <f>(C$17)*C82</f>
        <v>155.77512335</v>
      </c>
    </row>
    <row r="83" spans="1:4" ht="16.5" thickBot="1" x14ac:dyDescent="0.3">
      <c r="A83" s="30" t="s">
        <v>44</v>
      </c>
      <c r="B83" s="31" t="s">
        <v>88</v>
      </c>
      <c r="C83" s="52">
        <v>8.2000000000000007E-3</v>
      </c>
      <c r="D83" s="44">
        <f t="shared" ref="D83:D88" si="2">(C$17)*C83</f>
        <v>15.334405900000002</v>
      </c>
    </row>
    <row r="84" spans="1:4" ht="16.5" thickBot="1" x14ac:dyDescent="0.3">
      <c r="A84" s="30" t="s">
        <v>46</v>
      </c>
      <c r="B84" s="31" t="s">
        <v>89</v>
      </c>
      <c r="C84" s="52">
        <v>2.0000000000000001E-4</v>
      </c>
      <c r="D84" s="44">
        <f t="shared" si="2"/>
        <v>0.37400990000000001</v>
      </c>
    </row>
    <row r="85" spans="1:4" ht="16.5" thickBot="1" x14ac:dyDescent="0.3">
      <c r="A85" s="30" t="s">
        <v>48</v>
      </c>
      <c r="B85" s="31" t="s">
        <v>90</v>
      </c>
      <c r="C85" s="52">
        <v>2.9999999999999997E-4</v>
      </c>
      <c r="D85" s="44">
        <f t="shared" si="2"/>
        <v>0.56101484999999995</v>
      </c>
    </row>
    <row r="86" spans="1:4" ht="16.5" thickBot="1" x14ac:dyDescent="0.3">
      <c r="A86" s="30" t="s">
        <v>49</v>
      </c>
      <c r="B86" s="31" t="s">
        <v>91</v>
      </c>
      <c r="C86" s="52">
        <v>6.1000000000000004E-3</v>
      </c>
      <c r="D86" s="44">
        <f t="shared" si="2"/>
        <v>11.407301950000001</v>
      </c>
    </row>
    <row r="87" spans="1:4" ht="16.5" thickBot="1" x14ac:dyDescent="0.3">
      <c r="A87" s="30" t="s">
        <v>51</v>
      </c>
      <c r="B87" s="31" t="s">
        <v>53</v>
      </c>
      <c r="C87" s="52">
        <v>0</v>
      </c>
      <c r="D87" s="44">
        <f t="shared" si="2"/>
        <v>0</v>
      </c>
    </row>
    <row r="88" spans="1:4" ht="16.5" thickBot="1" x14ac:dyDescent="0.3">
      <c r="A88" s="190" t="s">
        <v>70</v>
      </c>
      <c r="B88" s="191"/>
      <c r="C88" s="52">
        <v>9.8100000000000007E-2</v>
      </c>
      <c r="D88" s="44">
        <f t="shared" si="2"/>
        <v>183.45185595000001</v>
      </c>
    </row>
    <row r="91" spans="1:4" x14ac:dyDescent="0.25">
      <c r="A91" s="193" t="s">
        <v>92</v>
      </c>
      <c r="B91" s="193"/>
      <c r="C91" s="193"/>
    </row>
    <row r="92" spans="1:4" ht="16.5" thickBot="1" x14ac:dyDescent="0.3">
      <c r="A92" s="27"/>
    </row>
    <row r="93" spans="1:4" ht="16.5" thickBot="1" x14ac:dyDescent="0.3">
      <c r="A93" s="28" t="s">
        <v>93</v>
      </c>
      <c r="B93" s="74" t="s">
        <v>94</v>
      </c>
      <c r="C93" s="74" t="s">
        <v>41</v>
      </c>
    </row>
    <row r="94" spans="1:4" ht="16.5" thickBot="1" x14ac:dyDescent="0.3">
      <c r="A94" s="30" t="s">
        <v>42</v>
      </c>
      <c r="B94" s="31" t="s">
        <v>110</v>
      </c>
      <c r="C94" s="43"/>
    </row>
    <row r="95" spans="1:4" ht="16.5" thickBot="1" x14ac:dyDescent="0.3">
      <c r="A95" s="190" t="s">
        <v>5</v>
      </c>
      <c r="B95" s="191"/>
      <c r="C95" s="43"/>
    </row>
    <row r="98" spans="1:3" x14ac:dyDescent="0.25">
      <c r="A98" s="193" t="s">
        <v>95</v>
      </c>
      <c r="B98" s="193"/>
      <c r="C98" s="193"/>
    </row>
    <row r="99" spans="1:3" ht="16.5" thickBot="1" x14ac:dyDescent="0.3">
      <c r="A99" s="27"/>
    </row>
    <row r="100" spans="1:3" ht="16.5" thickBot="1" x14ac:dyDescent="0.3">
      <c r="A100" s="28">
        <v>4</v>
      </c>
      <c r="B100" s="74" t="s">
        <v>96</v>
      </c>
      <c r="C100" s="74" t="s">
        <v>41</v>
      </c>
    </row>
    <row r="101" spans="1:3" ht="16.5" thickBot="1" x14ac:dyDescent="0.3">
      <c r="A101" s="30" t="s">
        <v>87</v>
      </c>
      <c r="B101" s="31" t="s">
        <v>88</v>
      </c>
      <c r="C101" s="44">
        <f>D88</f>
        <v>183.45185595000001</v>
      </c>
    </row>
    <row r="102" spans="1:3" ht="16.5" thickBot="1" x14ac:dyDescent="0.3">
      <c r="A102" s="30" t="s">
        <v>93</v>
      </c>
      <c r="B102" s="31" t="s">
        <v>94</v>
      </c>
      <c r="C102" s="44">
        <f>C95</f>
        <v>0</v>
      </c>
    </row>
    <row r="103" spans="1:3" ht="16.5" thickBot="1" x14ac:dyDescent="0.3">
      <c r="A103" s="190" t="s">
        <v>5</v>
      </c>
      <c r="B103" s="191"/>
      <c r="C103" s="64">
        <f>C101+C102</f>
        <v>183.45185595000001</v>
      </c>
    </row>
    <row r="106" spans="1:3" x14ac:dyDescent="0.25">
      <c r="A106" s="192" t="s">
        <v>97</v>
      </c>
      <c r="B106" s="192"/>
      <c r="C106" s="192"/>
    </row>
    <row r="107" spans="1:3" ht="16.5" thickBot="1" x14ac:dyDescent="0.3"/>
    <row r="108" spans="1:3" ht="16.5" thickBot="1" x14ac:dyDescent="0.3">
      <c r="A108" s="28">
        <v>5</v>
      </c>
      <c r="B108" s="35" t="s">
        <v>24</v>
      </c>
      <c r="C108" s="74" t="s">
        <v>41</v>
      </c>
    </row>
    <row r="109" spans="1:3" ht="16.5" thickBot="1" x14ac:dyDescent="0.3">
      <c r="A109" s="30" t="s">
        <v>42</v>
      </c>
      <c r="B109" s="31" t="s">
        <v>98</v>
      </c>
      <c r="C109" s="44">
        <f>'Planilhas de Apoio'!C39</f>
        <v>86.948888888888902</v>
      </c>
    </row>
    <row r="110" spans="1:3" ht="16.5" thickBot="1" x14ac:dyDescent="0.3">
      <c r="A110" s="30" t="s">
        <v>44</v>
      </c>
      <c r="B110" s="31" t="s">
        <v>310</v>
      </c>
      <c r="C110" s="44">
        <f>'Planilhas de Apoio'!J90</f>
        <v>61.12166666666667</v>
      </c>
    </row>
    <row r="111" spans="1:3" ht="16.5" thickBot="1" x14ac:dyDescent="0.3">
      <c r="A111" s="30" t="s">
        <v>46</v>
      </c>
      <c r="B111" s="31" t="s">
        <v>100</v>
      </c>
      <c r="C111" s="44">
        <v>0</v>
      </c>
    </row>
    <row r="112" spans="1:3" ht="16.5" thickBot="1" x14ac:dyDescent="0.3">
      <c r="A112" s="30" t="s">
        <v>48</v>
      </c>
      <c r="B112" s="31" t="s">
        <v>316</v>
      </c>
      <c r="C112" s="44">
        <f>'Planilhas de Apoio'!J97</f>
        <v>49.967222222222212</v>
      </c>
    </row>
    <row r="113" spans="1:4" ht="16.5" thickBot="1" x14ac:dyDescent="0.3">
      <c r="A113" s="190" t="s">
        <v>70</v>
      </c>
      <c r="B113" s="191"/>
      <c r="C113" s="44">
        <f>SUM(C109:C112)</f>
        <v>198.03777777777779</v>
      </c>
    </row>
    <row r="116" spans="1:4" x14ac:dyDescent="0.25">
      <c r="A116" s="192" t="s">
        <v>101</v>
      </c>
      <c r="B116" s="192"/>
      <c r="C116" s="192"/>
    </row>
    <row r="117" spans="1:4" ht="16.5" thickBot="1" x14ac:dyDescent="0.3"/>
    <row r="118" spans="1:4" ht="16.5" thickBot="1" x14ac:dyDescent="0.3">
      <c r="A118" s="28">
        <v>6</v>
      </c>
      <c r="B118" s="35" t="s">
        <v>25</v>
      </c>
      <c r="C118" s="74" t="s">
        <v>63</v>
      </c>
      <c r="D118" s="74" t="s">
        <v>41</v>
      </c>
    </row>
    <row r="119" spans="1:4" ht="16.5" thickBot="1" x14ac:dyDescent="0.3">
      <c r="A119" s="30" t="s">
        <v>42</v>
      </c>
      <c r="B119" s="68" t="s">
        <v>26</v>
      </c>
      <c r="C119" s="188">
        <v>9.0999999999999998E-2</v>
      </c>
      <c r="D119" s="70">
        <f>C119*C138</f>
        <v>788.31881737715571</v>
      </c>
    </row>
    <row r="120" spans="1:4" ht="16.5" thickBot="1" x14ac:dyDescent="0.3">
      <c r="A120" s="30" t="s">
        <v>44</v>
      </c>
      <c r="B120" s="68" t="s">
        <v>28</v>
      </c>
      <c r="C120" s="188">
        <v>5.8999999999999997E-2</v>
      </c>
      <c r="D120" s="70">
        <f>C120*(C138+D119)</f>
        <v>557.61861489835314</v>
      </c>
    </row>
    <row r="121" spans="1:4" ht="16.5" thickBot="1" x14ac:dyDescent="0.3">
      <c r="A121" s="30" t="s">
        <v>46</v>
      </c>
      <c r="B121" s="31" t="s">
        <v>27</v>
      </c>
      <c r="C121" s="33"/>
      <c r="D121" s="44">
        <f>(C$17+C$61+D$73+C$103+C$113)*C121</f>
        <v>0</v>
      </c>
    </row>
    <row r="122" spans="1:4" ht="16.5" thickBot="1" x14ac:dyDescent="0.3">
      <c r="A122" s="30"/>
      <c r="B122" s="68" t="s">
        <v>114</v>
      </c>
      <c r="C122" s="69">
        <f>C123+C124</f>
        <v>9.2499999999999999E-2</v>
      </c>
      <c r="D122" s="70">
        <f>C122*(C$138+D$119+D$120)</f>
        <v>925.81229608314288</v>
      </c>
    </row>
    <row r="123" spans="1:4" ht="16.5" thickBot="1" x14ac:dyDescent="0.3">
      <c r="A123" s="30"/>
      <c r="B123" s="31" t="s">
        <v>112</v>
      </c>
      <c r="C123" s="33">
        <v>7.5999999999999998E-2</v>
      </c>
      <c r="D123" s="44">
        <f>C123*(C$138+D$119+D$120)</f>
        <v>760.66740002506867</v>
      </c>
    </row>
    <row r="124" spans="1:4" ht="16.5" thickBot="1" x14ac:dyDescent="0.3">
      <c r="A124" s="30"/>
      <c r="B124" s="31" t="s">
        <v>113</v>
      </c>
      <c r="C124" s="33">
        <v>1.6500000000000001E-2</v>
      </c>
      <c r="D124" s="44">
        <f>C124*(C$138+D$119+D$120)</f>
        <v>165.14489605807412</v>
      </c>
    </row>
    <row r="125" spans="1:4" ht="16.5" thickBot="1" x14ac:dyDescent="0.3">
      <c r="A125" s="30"/>
      <c r="B125" s="68" t="s">
        <v>115</v>
      </c>
      <c r="C125" s="69">
        <v>0</v>
      </c>
      <c r="D125" s="70">
        <f>C125*(C$138+D$119+D$120)</f>
        <v>0</v>
      </c>
    </row>
    <row r="126" spans="1:4" ht="16.5" thickBot="1" x14ac:dyDescent="0.3">
      <c r="A126" s="30"/>
      <c r="B126" s="68" t="s">
        <v>116</v>
      </c>
      <c r="C126" s="69">
        <v>0.05</v>
      </c>
      <c r="D126" s="70">
        <f>C126*(C$138+D$119+D$120)</f>
        <v>500.43907896386099</v>
      </c>
    </row>
    <row r="127" spans="1:4" ht="16.5" thickBot="1" x14ac:dyDescent="0.3">
      <c r="A127" s="194" t="s">
        <v>70</v>
      </c>
      <c r="B127" s="195"/>
      <c r="C127" s="69">
        <f>C119+C120+C122+C125+C126</f>
        <v>0.29249999999999998</v>
      </c>
      <c r="D127" s="70">
        <f>D119+D120+D122+D125+D126</f>
        <v>2772.1888073225127</v>
      </c>
    </row>
    <row r="130" spans="1:3" x14ac:dyDescent="0.25">
      <c r="A130" s="192" t="s">
        <v>102</v>
      </c>
      <c r="B130" s="192"/>
      <c r="C130" s="192"/>
    </row>
    <row r="131" spans="1:3" ht="16.5" thickBot="1" x14ac:dyDescent="0.3"/>
    <row r="132" spans="1:3" ht="16.5" thickBot="1" x14ac:dyDescent="0.3">
      <c r="A132" s="28"/>
      <c r="B132" s="74" t="s">
        <v>103</v>
      </c>
      <c r="C132" s="74" t="s">
        <v>41</v>
      </c>
    </row>
    <row r="133" spans="1:3" ht="16.5" thickBot="1" x14ac:dyDescent="0.3">
      <c r="A133" s="37" t="s">
        <v>42</v>
      </c>
      <c r="B133" s="31" t="s">
        <v>39</v>
      </c>
      <c r="C133" s="67">
        <f>C17</f>
        <v>1870.0495000000001</v>
      </c>
    </row>
    <row r="134" spans="1:3" ht="16.5" thickBot="1" x14ac:dyDescent="0.3">
      <c r="A134" s="37" t="s">
        <v>44</v>
      </c>
      <c r="B134" s="31" t="s">
        <v>54</v>
      </c>
      <c r="C134" s="67">
        <f>C61</f>
        <v>6270.6099690919336</v>
      </c>
    </row>
    <row r="135" spans="1:3" ht="16.5" thickBot="1" x14ac:dyDescent="0.3">
      <c r="A135" s="37" t="s">
        <v>46</v>
      </c>
      <c r="B135" s="31" t="s">
        <v>77</v>
      </c>
      <c r="C135" s="67">
        <f>D73</f>
        <v>140.695044182</v>
      </c>
    </row>
    <row r="136" spans="1:3" ht="16.5" thickBot="1" x14ac:dyDescent="0.3">
      <c r="A136" s="37" t="s">
        <v>48</v>
      </c>
      <c r="B136" s="31" t="s">
        <v>85</v>
      </c>
      <c r="C136" s="67">
        <f>D88</f>
        <v>183.45185595000001</v>
      </c>
    </row>
    <row r="137" spans="1:3" ht="16.5" thickBot="1" x14ac:dyDescent="0.3">
      <c r="A137" s="37" t="s">
        <v>49</v>
      </c>
      <c r="B137" s="31" t="s">
        <v>97</v>
      </c>
      <c r="C137" s="67">
        <f>C113</f>
        <v>198.03777777777779</v>
      </c>
    </row>
    <row r="138" spans="1:3" ht="16.5" customHeight="1" thickBot="1" x14ac:dyDescent="0.3">
      <c r="A138" s="190" t="s">
        <v>104</v>
      </c>
      <c r="B138" s="191"/>
      <c r="C138" s="67">
        <f>SUM(C133:C137)</f>
        <v>8662.8441470017115</v>
      </c>
    </row>
    <row r="139" spans="1:3" ht="16.5" thickBot="1" x14ac:dyDescent="0.3">
      <c r="A139" s="37" t="s">
        <v>51</v>
      </c>
      <c r="B139" s="31" t="s">
        <v>105</v>
      </c>
      <c r="C139" s="67">
        <f>D127</f>
        <v>2772.1888073225127</v>
      </c>
    </row>
    <row r="140" spans="1:3" ht="16.5" customHeight="1" thickBot="1" x14ac:dyDescent="0.3">
      <c r="A140" s="190" t="s">
        <v>106</v>
      </c>
      <c r="B140" s="191"/>
      <c r="C140" s="71">
        <f>C138+C139</f>
        <v>11435.032954324224</v>
      </c>
    </row>
  </sheetData>
  <mergeCells count="34">
    <mergeCell ref="A30:D30"/>
    <mergeCell ref="A1:D1"/>
    <mergeCell ref="A2:D2"/>
    <mergeCell ref="A3:D3"/>
    <mergeCell ref="B4:C4"/>
    <mergeCell ref="B5:C5"/>
    <mergeCell ref="B6:C6"/>
    <mergeCell ref="A7:C7"/>
    <mergeCell ref="A17:B17"/>
    <mergeCell ref="A20:C20"/>
    <mergeCell ref="A22:C22"/>
    <mergeCell ref="A27:B27"/>
    <mergeCell ref="A18:C19"/>
    <mergeCell ref="A95:B95"/>
    <mergeCell ref="A41:B41"/>
    <mergeCell ref="A44:C44"/>
    <mergeCell ref="A52:B52"/>
    <mergeCell ref="A55:C55"/>
    <mergeCell ref="A61:B61"/>
    <mergeCell ref="A64:C64"/>
    <mergeCell ref="A73:B73"/>
    <mergeCell ref="A76:C76"/>
    <mergeCell ref="A79:C79"/>
    <mergeCell ref="A88:B88"/>
    <mergeCell ref="A91:C91"/>
    <mergeCell ref="A130:C130"/>
    <mergeCell ref="A138:B138"/>
    <mergeCell ref="A140:B140"/>
    <mergeCell ref="A98:C98"/>
    <mergeCell ref="A103:B103"/>
    <mergeCell ref="A106:C106"/>
    <mergeCell ref="A113:B113"/>
    <mergeCell ref="A116:C116"/>
    <mergeCell ref="A127:B12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showGridLines="0" topLeftCell="A114" zoomScaleNormal="100" workbookViewId="0">
      <selection activeCell="C119" sqref="C119:C120"/>
    </sheetView>
  </sheetViews>
  <sheetFormatPr defaultRowHeight="15.75" x14ac:dyDescent="0.25"/>
  <cols>
    <col min="1" max="1" width="16.28515625" style="36" customWidth="1"/>
    <col min="2" max="2" width="72.140625" style="36" customWidth="1"/>
    <col min="3" max="3" width="18" style="36" customWidth="1"/>
    <col min="4" max="4" width="14.28515625" style="36" customWidth="1"/>
    <col min="5" max="5" width="12.7109375" style="36" customWidth="1"/>
    <col min="6" max="6" width="12" style="36" customWidth="1"/>
    <col min="7" max="7" width="15.140625" style="36" customWidth="1"/>
    <col min="8" max="16384" width="9.140625" style="36"/>
  </cols>
  <sheetData>
    <row r="1" spans="1:4" ht="23.25" x14ac:dyDescent="0.35">
      <c r="A1" s="200" t="s">
        <v>107</v>
      </c>
      <c r="B1" s="200"/>
      <c r="C1" s="200"/>
      <c r="D1" s="200"/>
    </row>
    <row r="2" spans="1:4" ht="23.25" x14ac:dyDescent="0.35">
      <c r="A2" s="200" t="s">
        <v>108</v>
      </c>
      <c r="B2" s="200"/>
      <c r="C2" s="200"/>
      <c r="D2" s="200"/>
    </row>
    <row r="3" spans="1:4" ht="27.75" customHeight="1" x14ac:dyDescent="0.25">
      <c r="A3" s="202" t="s">
        <v>109</v>
      </c>
      <c r="B3" s="202"/>
      <c r="C3" s="202"/>
      <c r="D3" s="202"/>
    </row>
    <row r="4" spans="1:4" x14ac:dyDescent="0.25">
      <c r="A4" s="57" t="s">
        <v>117</v>
      </c>
      <c r="B4" s="197" t="s">
        <v>374</v>
      </c>
      <c r="C4" s="197"/>
    </row>
    <row r="5" spans="1:4" x14ac:dyDescent="0.25">
      <c r="A5" s="57" t="s">
        <v>118</v>
      </c>
      <c r="B5" s="197" t="s">
        <v>141</v>
      </c>
      <c r="C5" s="197"/>
    </row>
    <row r="6" spans="1:4" ht="19.5" customHeight="1" x14ac:dyDescent="0.25">
      <c r="A6" s="57" t="s">
        <v>119</v>
      </c>
      <c r="B6" s="205" t="s">
        <v>375</v>
      </c>
      <c r="C6" s="197"/>
    </row>
    <row r="7" spans="1:4" x14ac:dyDescent="0.25">
      <c r="A7" s="201" t="s">
        <v>39</v>
      </c>
      <c r="B7" s="201"/>
      <c r="C7" s="201"/>
    </row>
    <row r="8" spans="1:4" ht="16.5" thickBot="1" x14ac:dyDescent="0.3"/>
    <row r="9" spans="1:4" ht="16.5" thickBot="1" x14ac:dyDescent="0.3">
      <c r="A9" s="28">
        <v>1</v>
      </c>
      <c r="B9" s="74" t="s">
        <v>40</v>
      </c>
      <c r="C9" s="74" t="s">
        <v>41</v>
      </c>
    </row>
    <row r="10" spans="1:4" ht="16.5" thickBot="1" x14ac:dyDescent="0.3">
      <c r="A10" s="30" t="s">
        <v>42</v>
      </c>
      <c r="B10" s="31" t="s">
        <v>376</v>
      </c>
      <c r="C10" s="44">
        <v>1372.51</v>
      </c>
    </row>
    <row r="11" spans="1:4" ht="16.5" thickBot="1" x14ac:dyDescent="0.3">
      <c r="A11" s="30" t="s">
        <v>44</v>
      </c>
      <c r="B11" s="31" t="s">
        <v>45</v>
      </c>
      <c r="C11" s="44"/>
    </row>
    <row r="12" spans="1:4" ht="16.5" thickBot="1" x14ac:dyDescent="0.3">
      <c r="A12" s="30" t="s">
        <v>46</v>
      </c>
      <c r="B12" s="31" t="s">
        <v>47</v>
      </c>
      <c r="C12" s="44"/>
    </row>
    <row r="13" spans="1:4" ht="16.5" thickBot="1" x14ac:dyDescent="0.3">
      <c r="A13" s="30" t="s">
        <v>48</v>
      </c>
      <c r="B13" s="31" t="s">
        <v>4</v>
      </c>
      <c r="C13" s="44"/>
    </row>
    <row r="14" spans="1:4" ht="16.5" thickBot="1" x14ac:dyDescent="0.3">
      <c r="A14" s="30" t="s">
        <v>49</v>
      </c>
      <c r="B14" s="31" t="s">
        <v>50</v>
      </c>
      <c r="C14" s="44"/>
    </row>
    <row r="15" spans="1:4" ht="16.5" thickBot="1" x14ac:dyDescent="0.3">
      <c r="A15" s="30" t="s">
        <v>51</v>
      </c>
      <c r="B15" s="31"/>
      <c r="C15" s="44"/>
    </row>
    <row r="16" spans="1:4" ht="16.5" thickBot="1" x14ac:dyDescent="0.3">
      <c r="A16" s="30" t="s">
        <v>52</v>
      </c>
      <c r="B16" s="31" t="s">
        <v>53</v>
      </c>
      <c r="C16" s="44"/>
    </row>
    <row r="17" spans="1:4" ht="16.5" thickBot="1" x14ac:dyDescent="0.3">
      <c r="A17" s="190" t="s">
        <v>5</v>
      </c>
      <c r="B17" s="191"/>
      <c r="C17" s="64">
        <f>SUM(C10:C16)</f>
        <v>1372.51</v>
      </c>
    </row>
    <row r="20" spans="1:4" x14ac:dyDescent="0.25">
      <c r="A20" s="192" t="s">
        <v>54</v>
      </c>
      <c r="B20" s="192"/>
      <c r="C20" s="192"/>
    </row>
    <row r="21" spans="1:4" x14ac:dyDescent="0.25">
      <c r="A21" s="27"/>
    </row>
    <row r="22" spans="1:4" x14ac:dyDescent="0.25">
      <c r="A22" s="193" t="s">
        <v>55</v>
      </c>
      <c r="B22" s="193"/>
      <c r="C22" s="193"/>
    </row>
    <row r="23" spans="1:4" ht="16.5" thickBot="1" x14ac:dyDescent="0.3"/>
    <row r="24" spans="1:4" ht="16.5" thickBot="1" x14ac:dyDescent="0.3">
      <c r="A24" s="28" t="s">
        <v>56</v>
      </c>
      <c r="B24" s="74" t="s">
        <v>57</v>
      </c>
      <c r="C24" s="74" t="s">
        <v>63</v>
      </c>
      <c r="D24" s="74" t="s">
        <v>41</v>
      </c>
    </row>
    <row r="25" spans="1:4" ht="16.5" thickBot="1" x14ac:dyDescent="0.3">
      <c r="A25" s="30" t="s">
        <v>42</v>
      </c>
      <c r="B25" s="60" t="s">
        <v>58</v>
      </c>
      <c r="C25" s="56">
        <f>1/12</f>
        <v>8.3333333333333329E-2</v>
      </c>
      <c r="D25" s="61">
        <f>C$17*C25</f>
        <v>114.37583333333333</v>
      </c>
    </row>
    <row r="26" spans="1:4" ht="16.5" thickBot="1" x14ac:dyDescent="0.3">
      <c r="A26" s="30" t="s">
        <v>44</v>
      </c>
      <c r="B26" s="58" t="s">
        <v>59</v>
      </c>
      <c r="C26" s="62">
        <v>0.1111</v>
      </c>
      <c r="D26" s="63">
        <f>C$17*C26</f>
        <v>152.485861</v>
      </c>
    </row>
    <row r="27" spans="1:4" ht="16.5" thickBot="1" x14ac:dyDescent="0.3">
      <c r="A27" s="190" t="s">
        <v>5</v>
      </c>
      <c r="B27" s="191"/>
      <c r="C27" s="65">
        <f>SUM(C25:C26)</f>
        <v>0.19443333333333335</v>
      </c>
      <c r="D27" s="66">
        <f>C$17*C27</f>
        <v>266.86169433333333</v>
      </c>
    </row>
    <row r="30" spans="1:4" ht="32.25" customHeight="1" x14ac:dyDescent="0.25">
      <c r="A30" s="196" t="s">
        <v>60</v>
      </c>
      <c r="B30" s="196"/>
      <c r="C30" s="196"/>
      <c r="D30" s="196"/>
    </row>
    <row r="31" spans="1:4" ht="16.5" thickBot="1" x14ac:dyDescent="0.3"/>
    <row r="32" spans="1:4" ht="16.5" thickBot="1" x14ac:dyDescent="0.3">
      <c r="A32" s="28" t="s">
        <v>61</v>
      </c>
      <c r="B32" s="74" t="s">
        <v>62</v>
      </c>
      <c r="C32" s="74" t="s">
        <v>63</v>
      </c>
      <c r="D32" s="74" t="s">
        <v>41</v>
      </c>
    </row>
    <row r="33" spans="1:4" ht="16.5" thickBot="1" x14ac:dyDescent="0.3">
      <c r="A33" s="30" t="s">
        <v>42</v>
      </c>
      <c r="B33" s="31" t="s">
        <v>64</v>
      </c>
      <c r="C33" s="33">
        <v>0.2</v>
      </c>
      <c r="D33" s="63">
        <f t="shared" ref="D33:D41" si="0">(D$27+C$17)*C33</f>
        <v>327.87433886666668</v>
      </c>
    </row>
    <row r="34" spans="1:4" ht="16.5" thickBot="1" x14ac:dyDescent="0.3">
      <c r="A34" s="30" t="s">
        <v>44</v>
      </c>
      <c r="B34" s="31" t="s">
        <v>65</v>
      </c>
      <c r="C34" s="33">
        <v>2.5000000000000001E-2</v>
      </c>
      <c r="D34" s="63">
        <f t="shared" si="0"/>
        <v>40.984292358333335</v>
      </c>
    </row>
    <row r="35" spans="1:4" ht="16.5" thickBot="1" x14ac:dyDescent="0.3">
      <c r="A35" s="30" t="s">
        <v>46</v>
      </c>
      <c r="B35" s="31" t="s">
        <v>66</v>
      </c>
      <c r="C35" s="45">
        <v>0.01</v>
      </c>
      <c r="D35" s="63">
        <f t="shared" si="0"/>
        <v>16.393716943333335</v>
      </c>
    </row>
    <row r="36" spans="1:4" ht="16.5" thickBot="1" x14ac:dyDescent="0.3">
      <c r="A36" s="30" t="s">
        <v>48</v>
      </c>
      <c r="B36" s="31" t="s">
        <v>67</v>
      </c>
      <c r="C36" s="33">
        <v>1.4999999999999999E-2</v>
      </c>
      <c r="D36" s="63">
        <f t="shared" si="0"/>
        <v>24.590575415</v>
      </c>
    </row>
    <row r="37" spans="1:4" ht="16.5" thickBot="1" x14ac:dyDescent="0.3">
      <c r="A37" s="30" t="s">
        <v>49</v>
      </c>
      <c r="B37" s="31" t="s">
        <v>68</v>
      </c>
      <c r="C37" s="33">
        <v>0.01</v>
      </c>
      <c r="D37" s="63">
        <f t="shared" si="0"/>
        <v>16.393716943333335</v>
      </c>
    </row>
    <row r="38" spans="1:4" ht="16.5" thickBot="1" x14ac:dyDescent="0.3">
      <c r="A38" s="30" t="s">
        <v>51</v>
      </c>
      <c r="B38" s="31" t="s">
        <v>7</v>
      </c>
      <c r="C38" s="33">
        <v>6.0000000000000001E-3</v>
      </c>
      <c r="D38" s="63">
        <f t="shared" si="0"/>
        <v>9.836230166</v>
      </c>
    </row>
    <row r="39" spans="1:4" ht="16.5" thickBot="1" x14ac:dyDescent="0.3">
      <c r="A39" s="30" t="s">
        <v>52</v>
      </c>
      <c r="B39" s="31" t="s">
        <v>8</v>
      </c>
      <c r="C39" s="33">
        <v>2E-3</v>
      </c>
      <c r="D39" s="63">
        <f t="shared" si="0"/>
        <v>3.2787433886666668</v>
      </c>
    </row>
    <row r="40" spans="1:4" ht="16.5" thickBot="1" x14ac:dyDescent="0.3">
      <c r="A40" s="30" t="s">
        <v>69</v>
      </c>
      <c r="B40" s="31" t="s">
        <v>9</v>
      </c>
      <c r="C40" s="33">
        <v>0.08</v>
      </c>
      <c r="D40" s="63">
        <f t="shared" si="0"/>
        <v>131.14973554666668</v>
      </c>
    </row>
    <row r="41" spans="1:4" ht="16.5" thickBot="1" x14ac:dyDescent="0.3">
      <c r="A41" s="190" t="s">
        <v>70</v>
      </c>
      <c r="B41" s="191"/>
      <c r="C41" s="33">
        <f>SUM(C33:C40)</f>
        <v>0.34800000000000003</v>
      </c>
      <c r="D41" s="63">
        <f t="shared" si="0"/>
        <v>570.50134962800007</v>
      </c>
    </row>
    <row r="44" spans="1:4" x14ac:dyDescent="0.25">
      <c r="A44" s="193" t="s">
        <v>71</v>
      </c>
      <c r="B44" s="193"/>
      <c r="C44" s="193"/>
    </row>
    <row r="45" spans="1:4" ht="16.5" thickBot="1" x14ac:dyDescent="0.3"/>
    <row r="46" spans="1:4" ht="16.5" thickBot="1" x14ac:dyDescent="0.3">
      <c r="A46" s="28" t="s">
        <v>72</v>
      </c>
      <c r="B46" s="74" t="s">
        <v>73</v>
      </c>
      <c r="C46" s="74" t="s">
        <v>41</v>
      </c>
    </row>
    <row r="47" spans="1:4" ht="16.5" thickBot="1" x14ac:dyDescent="0.3">
      <c r="A47" s="30" t="s">
        <v>42</v>
      </c>
      <c r="B47" s="31" t="s">
        <v>74</v>
      </c>
      <c r="C47" s="50">
        <f>'Planilhas de Apoio'!D17</f>
        <v>102.44940000000001</v>
      </c>
    </row>
    <row r="48" spans="1:4" ht="16.5" thickBot="1" x14ac:dyDescent="0.3">
      <c r="A48" s="30" t="s">
        <v>44</v>
      </c>
      <c r="B48" s="31" t="s">
        <v>120</v>
      </c>
      <c r="C48" s="44">
        <f>'Planilhas de Apoio'!D21</f>
        <v>373.12</v>
      </c>
    </row>
    <row r="49" spans="1:3" ht="16.5" thickBot="1" x14ac:dyDescent="0.3">
      <c r="A49" s="30" t="s">
        <v>46</v>
      </c>
      <c r="B49" s="31" t="s">
        <v>131</v>
      </c>
      <c r="C49" s="44">
        <v>0</v>
      </c>
    </row>
    <row r="50" spans="1:3" ht="16.5" thickBot="1" x14ac:dyDescent="0.3">
      <c r="A50" s="73" t="s">
        <v>48</v>
      </c>
      <c r="B50" s="72" t="s">
        <v>121</v>
      </c>
      <c r="C50" s="44">
        <f>'Planilhas de Apoio'!D26</f>
        <v>124.37</v>
      </c>
    </row>
    <row r="51" spans="1:3" ht="16.5" thickBot="1" x14ac:dyDescent="0.3">
      <c r="A51" s="73" t="s">
        <v>49</v>
      </c>
      <c r="B51" s="59" t="s">
        <v>122</v>
      </c>
      <c r="C51" s="44">
        <v>0</v>
      </c>
    </row>
    <row r="52" spans="1:3" ht="16.5" thickBot="1" x14ac:dyDescent="0.3">
      <c r="A52" s="203" t="s">
        <v>5</v>
      </c>
      <c r="B52" s="204"/>
      <c r="C52" s="44">
        <f>SUM(C47:C50)</f>
        <v>599.93939999999998</v>
      </c>
    </row>
    <row r="55" spans="1:3" x14ac:dyDescent="0.25">
      <c r="A55" s="193" t="s">
        <v>75</v>
      </c>
      <c r="B55" s="193"/>
      <c r="C55" s="193"/>
    </row>
    <row r="56" spans="1:3" ht="16.5" thickBot="1" x14ac:dyDescent="0.3"/>
    <row r="57" spans="1:3" ht="16.5" thickBot="1" x14ac:dyDescent="0.3">
      <c r="A57" s="28">
        <v>2</v>
      </c>
      <c r="B57" s="74" t="s">
        <v>76</v>
      </c>
      <c r="C57" s="74" t="s">
        <v>41</v>
      </c>
    </row>
    <row r="58" spans="1:3" ht="16.5" thickBot="1" x14ac:dyDescent="0.3">
      <c r="A58" s="30" t="s">
        <v>56</v>
      </c>
      <c r="B58" s="31" t="s">
        <v>57</v>
      </c>
      <c r="C58" s="44">
        <f>D27</f>
        <v>266.86169433333333</v>
      </c>
    </row>
    <row r="59" spans="1:3" ht="16.5" thickBot="1" x14ac:dyDescent="0.3">
      <c r="A59" s="30" t="s">
        <v>61</v>
      </c>
      <c r="B59" s="31" t="s">
        <v>62</v>
      </c>
      <c r="C59" s="44">
        <f>D41</f>
        <v>570.50134962800007</v>
      </c>
    </row>
    <row r="60" spans="1:3" ht="16.5" thickBot="1" x14ac:dyDescent="0.3">
      <c r="A60" s="30" t="s">
        <v>72</v>
      </c>
      <c r="B60" s="31" t="s">
        <v>73</v>
      </c>
      <c r="C60" s="44">
        <f>C52</f>
        <v>599.93939999999998</v>
      </c>
    </row>
    <row r="61" spans="1:3" ht="16.5" thickBot="1" x14ac:dyDescent="0.3">
      <c r="A61" s="190" t="s">
        <v>5</v>
      </c>
      <c r="B61" s="191"/>
      <c r="C61" s="44">
        <f>SUM(C58:C60)</f>
        <v>1437.3024439613334</v>
      </c>
    </row>
    <row r="62" spans="1:3" x14ac:dyDescent="0.25">
      <c r="A62" s="6"/>
    </row>
    <row r="64" spans="1:3" x14ac:dyDescent="0.25">
      <c r="A64" s="192" t="s">
        <v>77</v>
      </c>
      <c r="B64" s="192"/>
      <c r="C64" s="192"/>
    </row>
    <row r="65" spans="1:4" ht="16.5" thickBot="1" x14ac:dyDescent="0.3"/>
    <row r="66" spans="1:4" ht="16.5" thickBot="1" x14ac:dyDescent="0.3">
      <c r="A66" s="28">
        <v>3</v>
      </c>
      <c r="B66" s="74" t="s">
        <v>78</v>
      </c>
      <c r="C66" s="74" t="s">
        <v>63</v>
      </c>
      <c r="D66" s="74" t="s">
        <v>41</v>
      </c>
    </row>
    <row r="67" spans="1:4" ht="16.5" thickBot="1" x14ac:dyDescent="0.3">
      <c r="A67" s="30" t="s">
        <v>42</v>
      </c>
      <c r="B67" s="34" t="s">
        <v>79</v>
      </c>
      <c r="C67" s="53">
        <v>4.1999999999999997E-3</v>
      </c>
      <c r="D67" s="44">
        <f>(C$17)*C67</f>
        <v>5.7645419999999996</v>
      </c>
    </row>
    <row r="68" spans="1:4" ht="16.5" thickBot="1" x14ac:dyDescent="0.3">
      <c r="A68" s="30" t="s">
        <v>44</v>
      </c>
      <c r="B68" s="51" t="s">
        <v>80</v>
      </c>
      <c r="C68" s="54">
        <f>C67*8%</f>
        <v>3.3599999999999998E-4</v>
      </c>
      <c r="D68" s="44">
        <f t="shared" ref="D68:D73" si="1">(C$17)*C68</f>
        <v>0.46116335999999997</v>
      </c>
    </row>
    <row r="69" spans="1:4" ht="16.5" thickBot="1" x14ac:dyDescent="0.3">
      <c r="A69" s="30" t="s">
        <v>46</v>
      </c>
      <c r="B69" s="34" t="s">
        <v>81</v>
      </c>
      <c r="C69" s="52">
        <v>4.3499999999999997E-2</v>
      </c>
      <c r="D69" s="44">
        <f t="shared" si="1"/>
        <v>59.704184999999995</v>
      </c>
    </row>
    <row r="70" spans="1:4" ht="16.5" thickBot="1" x14ac:dyDescent="0.3">
      <c r="A70" s="30" t="s">
        <v>48</v>
      </c>
      <c r="B70" s="34" t="s">
        <v>82</v>
      </c>
      <c r="C70" s="55">
        <v>1.9400000000000001E-2</v>
      </c>
      <c r="D70" s="44">
        <f t="shared" si="1"/>
        <v>26.626694000000001</v>
      </c>
    </row>
    <row r="71" spans="1:4" ht="16.5" thickBot="1" x14ac:dyDescent="0.3">
      <c r="A71" s="30" t="s">
        <v>49</v>
      </c>
      <c r="B71" s="34" t="s">
        <v>83</v>
      </c>
      <c r="C71" s="52">
        <v>7.0000000000000001E-3</v>
      </c>
      <c r="D71" s="44">
        <f t="shared" si="1"/>
        <v>9.6075700000000008</v>
      </c>
    </row>
    <row r="72" spans="1:4" ht="16.5" thickBot="1" x14ac:dyDescent="0.3">
      <c r="A72" s="30" t="s">
        <v>51</v>
      </c>
      <c r="B72" s="34" t="s">
        <v>84</v>
      </c>
      <c r="C72" s="52">
        <v>8.0000000000000004E-4</v>
      </c>
      <c r="D72" s="44">
        <f t="shared" si="1"/>
        <v>1.0980080000000001</v>
      </c>
    </row>
    <row r="73" spans="1:4" ht="16.5" thickBot="1" x14ac:dyDescent="0.3">
      <c r="A73" s="190" t="s">
        <v>5</v>
      </c>
      <c r="B73" s="191"/>
      <c r="C73" s="52">
        <f>SUM(C67:C72)</f>
        <v>7.5235999999999997E-2</v>
      </c>
      <c r="D73" s="44">
        <f t="shared" si="1"/>
        <v>103.26216235999999</v>
      </c>
    </row>
    <row r="76" spans="1:4" x14ac:dyDescent="0.25">
      <c r="A76" s="192" t="s">
        <v>85</v>
      </c>
      <c r="B76" s="192"/>
      <c r="C76" s="192"/>
    </row>
    <row r="79" spans="1:4" x14ac:dyDescent="0.25">
      <c r="A79" s="193" t="s">
        <v>86</v>
      </c>
      <c r="B79" s="193"/>
      <c r="C79" s="193"/>
    </row>
    <row r="80" spans="1:4" ht="16.5" thickBot="1" x14ac:dyDescent="0.3">
      <c r="A80" s="27"/>
    </row>
    <row r="81" spans="1:4" ht="16.5" thickBot="1" x14ac:dyDescent="0.3">
      <c r="A81" s="28" t="s">
        <v>87</v>
      </c>
      <c r="B81" s="74" t="s">
        <v>88</v>
      </c>
      <c r="C81" s="74" t="s">
        <v>63</v>
      </c>
      <c r="D81" s="74" t="s">
        <v>41</v>
      </c>
    </row>
    <row r="82" spans="1:4" ht="16.5" thickBot="1" x14ac:dyDescent="0.3">
      <c r="A82" s="30" t="s">
        <v>42</v>
      </c>
      <c r="B82" s="31" t="s">
        <v>6</v>
      </c>
      <c r="C82" s="52">
        <v>8.3299999999999999E-2</v>
      </c>
      <c r="D82" s="44">
        <f>(C$17)*C82</f>
        <v>114.330083</v>
      </c>
    </row>
    <row r="83" spans="1:4" ht="16.5" thickBot="1" x14ac:dyDescent="0.3">
      <c r="A83" s="30" t="s">
        <v>44</v>
      </c>
      <c r="B83" s="31" t="s">
        <v>88</v>
      </c>
      <c r="C83" s="52">
        <v>8.2000000000000007E-3</v>
      </c>
      <c r="D83" s="44">
        <f t="shared" ref="D83:D88" si="2">(C$17)*C83</f>
        <v>11.254582000000001</v>
      </c>
    </row>
    <row r="84" spans="1:4" ht="16.5" thickBot="1" x14ac:dyDescent="0.3">
      <c r="A84" s="30" t="s">
        <v>46</v>
      </c>
      <c r="B84" s="31" t="s">
        <v>89</v>
      </c>
      <c r="C84" s="52">
        <v>2.0000000000000001E-4</v>
      </c>
      <c r="D84" s="44">
        <f t="shared" si="2"/>
        <v>0.27450200000000002</v>
      </c>
    </row>
    <row r="85" spans="1:4" ht="16.5" thickBot="1" x14ac:dyDescent="0.3">
      <c r="A85" s="30" t="s">
        <v>48</v>
      </c>
      <c r="B85" s="31" t="s">
        <v>90</v>
      </c>
      <c r="C85" s="52">
        <v>2.9999999999999997E-4</v>
      </c>
      <c r="D85" s="44">
        <f t="shared" si="2"/>
        <v>0.41175299999999998</v>
      </c>
    </row>
    <row r="86" spans="1:4" ht="16.5" thickBot="1" x14ac:dyDescent="0.3">
      <c r="A86" s="30" t="s">
        <v>49</v>
      </c>
      <c r="B86" s="31" t="s">
        <v>91</v>
      </c>
      <c r="C86" s="52">
        <v>6.1000000000000004E-3</v>
      </c>
      <c r="D86" s="44">
        <f t="shared" si="2"/>
        <v>8.3723109999999998</v>
      </c>
    </row>
    <row r="87" spans="1:4" ht="16.5" thickBot="1" x14ac:dyDescent="0.3">
      <c r="A87" s="30" t="s">
        <v>51</v>
      </c>
      <c r="B87" s="31" t="s">
        <v>53</v>
      </c>
      <c r="C87" s="52">
        <v>0</v>
      </c>
      <c r="D87" s="44">
        <f t="shared" si="2"/>
        <v>0</v>
      </c>
    </row>
    <row r="88" spans="1:4" ht="16.5" thickBot="1" x14ac:dyDescent="0.3">
      <c r="A88" s="190" t="s">
        <v>70</v>
      </c>
      <c r="B88" s="191"/>
      <c r="C88" s="52">
        <v>9.8100000000000007E-2</v>
      </c>
      <c r="D88" s="44">
        <f t="shared" si="2"/>
        <v>134.64323100000001</v>
      </c>
    </row>
    <row r="91" spans="1:4" x14ac:dyDescent="0.25">
      <c r="A91" s="193" t="s">
        <v>92</v>
      </c>
      <c r="B91" s="193"/>
      <c r="C91" s="193"/>
    </row>
    <row r="92" spans="1:4" ht="16.5" thickBot="1" x14ac:dyDescent="0.3">
      <c r="A92" s="27"/>
    </row>
    <row r="93" spans="1:4" ht="16.5" thickBot="1" x14ac:dyDescent="0.3">
      <c r="A93" s="28" t="s">
        <v>93</v>
      </c>
      <c r="B93" s="74" t="s">
        <v>94</v>
      </c>
      <c r="C93" s="74" t="s">
        <v>41</v>
      </c>
    </row>
    <row r="94" spans="1:4" ht="16.5" thickBot="1" x14ac:dyDescent="0.3">
      <c r="A94" s="30" t="s">
        <v>42</v>
      </c>
      <c r="B94" s="31" t="s">
        <v>110</v>
      </c>
      <c r="C94" s="43"/>
    </row>
    <row r="95" spans="1:4" ht="16.5" thickBot="1" x14ac:dyDescent="0.3">
      <c r="A95" s="190" t="s">
        <v>5</v>
      </c>
      <c r="B95" s="191"/>
      <c r="C95" s="43"/>
    </row>
    <row r="98" spans="1:3" x14ac:dyDescent="0.25">
      <c r="A98" s="193" t="s">
        <v>95</v>
      </c>
      <c r="B98" s="193"/>
      <c r="C98" s="193"/>
    </row>
    <row r="99" spans="1:3" ht="16.5" thickBot="1" x14ac:dyDescent="0.3">
      <c r="A99" s="27"/>
    </row>
    <row r="100" spans="1:3" ht="16.5" thickBot="1" x14ac:dyDescent="0.3">
      <c r="A100" s="28">
        <v>4</v>
      </c>
      <c r="B100" s="74" t="s">
        <v>96</v>
      </c>
      <c r="C100" s="74" t="s">
        <v>41</v>
      </c>
    </row>
    <row r="101" spans="1:3" ht="16.5" thickBot="1" x14ac:dyDescent="0.3">
      <c r="A101" s="30" t="s">
        <v>87</v>
      </c>
      <c r="B101" s="31" t="s">
        <v>88</v>
      </c>
      <c r="C101" s="44">
        <f>D88</f>
        <v>134.64323100000001</v>
      </c>
    </row>
    <row r="102" spans="1:3" ht="16.5" thickBot="1" x14ac:dyDescent="0.3">
      <c r="A102" s="30" t="s">
        <v>93</v>
      </c>
      <c r="B102" s="31" t="s">
        <v>94</v>
      </c>
      <c r="C102" s="44">
        <f>C95</f>
        <v>0</v>
      </c>
    </row>
    <row r="103" spans="1:3" ht="16.5" thickBot="1" x14ac:dyDescent="0.3">
      <c r="A103" s="190" t="s">
        <v>5</v>
      </c>
      <c r="B103" s="191"/>
      <c r="C103" s="64">
        <f>C101+C102</f>
        <v>134.64323100000001</v>
      </c>
    </row>
    <row r="106" spans="1:3" x14ac:dyDescent="0.25">
      <c r="A106" s="192" t="s">
        <v>97</v>
      </c>
      <c r="B106" s="192"/>
      <c r="C106" s="192"/>
    </row>
    <row r="107" spans="1:3" ht="16.5" thickBot="1" x14ac:dyDescent="0.3"/>
    <row r="108" spans="1:3" ht="16.5" thickBot="1" x14ac:dyDescent="0.3">
      <c r="A108" s="28">
        <v>5</v>
      </c>
      <c r="B108" s="35" t="s">
        <v>24</v>
      </c>
      <c r="C108" s="74" t="s">
        <v>41</v>
      </c>
    </row>
    <row r="109" spans="1:3" ht="16.5" thickBot="1" x14ac:dyDescent="0.3">
      <c r="A109" s="30" t="s">
        <v>42</v>
      </c>
      <c r="B109" s="31" t="s">
        <v>98</v>
      </c>
      <c r="C109" s="44">
        <f>'Planilhas de Apoio'!C39</f>
        <v>86.948888888888902</v>
      </c>
    </row>
    <row r="110" spans="1:3" ht="16.5" thickBot="1" x14ac:dyDescent="0.3">
      <c r="A110" s="30" t="s">
        <v>44</v>
      </c>
      <c r="B110" s="31" t="s">
        <v>310</v>
      </c>
      <c r="C110" s="44">
        <f>'Planilhas de Apoio'!J107</f>
        <v>24.566388888888891</v>
      </c>
    </row>
    <row r="111" spans="1:3" ht="16.5" thickBot="1" x14ac:dyDescent="0.3">
      <c r="A111" s="30" t="s">
        <v>46</v>
      </c>
      <c r="B111" s="31" t="s">
        <v>100</v>
      </c>
      <c r="C111" s="44">
        <v>0</v>
      </c>
    </row>
    <row r="112" spans="1:3" ht="16.5" thickBot="1" x14ac:dyDescent="0.3">
      <c r="A112" s="30" t="s">
        <v>48</v>
      </c>
      <c r="B112" s="31" t="s">
        <v>53</v>
      </c>
      <c r="C112" s="44">
        <v>0</v>
      </c>
    </row>
    <row r="113" spans="1:4" ht="16.5" thickBot="1" x14ac:dyDescent="0.3">
      <c r="A113" s="190" t="s">
        <v>70</v>
      </c>
      <c r="B113" s="191"/>
      <c r="C113" s="44">
        <f>SUM(C109:C112)</f>
        <v>111.5152777777778</v>
      </c>
    </row>
    <row r="116" spans="1:4" x14ac:dyDescent="0.25">
      <c r="A116" s="192" t="s">
        <v>101</v>
      </c>
      <c r="B116" s="192"/>
      <c r="C116" s="192"/>
    </row>
    <row r="117" spans="1:4" ht="16.5" thickBot="1" x14ac:dyDescent="0.3"/>
    <row r="118" spans="1:4" ht="16.5" thickBot="1" x14ac:dyDescent="0.3">
      <c r="A118" s="28">
        <v>6</v>
      </c>
      <c r="B118" s="35" t="s">
        <v>25</v>
      </c>
      <c r="C118" s="74" t="s">
        <v>63</v>
      </c>
      <c r="D118" s="74" t="s">
        <v>41</v>
      </c>
    </row>
    <row r="119" spans="1:4" ht="16.5" thickBot="1" x14ac:dyDescent="0.3">
      <c r="A119" s="30" t="s">
        <v>42</v>
      </c>
      <c r="B119" s="68" t="s">
        <v>26</v>
      </c>
      <c r="C119" s="188">
        <v>9.0999999999999998E-2</v>
      </c>
      <c r="D119" s="70">
        <f>C119*C138</f>
        <v>287.49021347401913</v>
      </c>
    </row>
    <row r="120" spans="1:4" ht="16.5" thickBot="1" x14ac:dyDescent="0.3">
      <c r="A120" s="30" t="s">
        <v>44</v>
      </c>
      <c r="B120" s="68" t="s">
        <v>28</v>
      </c>
      <c r="C120" s="188">
        <v>5.8999999999999997E-2</v>
      </c>
      <c r="D120" s="70">
        <f>C120*(C138+D119)</f>
        <v>203.35667638581469</v>
      </c>
    </row>
    <row r="121" spans="1:4" ht="16.5" thickBot="1" x14ac:dyDescent="0.3">
      <c r="A121" s="30" t="s">
        <v>46</v>
      </c>
      <c r="B121" s="31" t="s">
        <v>27</v>
      </c>
      <c r="C121" s="33"/>
      <c r="D121" s="44">
        <f>(C$17+C$61+D$73+C$103+C$113)*C121</f>
        <v>0</v>
      </c>
    </row>
    <row r="122" spans="1:4" ht="16.5" thickBot="1" x14ac:dyDescent="0.3">
      <c r="A122" s="30"/>
      <c r="B122" s="68" t="s">
        <v>114</v>
      </c>
      <c r="C122" s="69">
        <f>C123+C124</f>
        <v>9.2499999999999999E-2</v>
      </c>
      <c r="D122" s="70">
        <f>C122*(C$138+D$119+D$120)</f>
        <v>337.63240045870242</v>
      </c>
    </row>
    <row r="123" spans="1:4" ht="16.5" thickBot="1" x14ac:dyDescent="0.3">
      <c r="A123" s="30"/>
      <c r="B123" s="31" t="s">
        <v>112</v>
      </c>
      <c r="C123" s="33">
        <v>7.5999999999999998E-2</v>
      </c>
      <c r="D123" s="44">
        <f>C123*(C$138+D$119+D$120)</f>
        <v>277.40608037687986</v>
      </c>
    </row>
    <row r="124" spans="1:4" ht="16.5" thickBot="1" x14ac:dyDescent="0.3">
      <c r="A124" s="30"/>
      <c r="B124" s="31" t="s">
        <v>113</v>
      </c>
      <c r="C124" s="33">
        <v>1.6500000000000001E-2</v>
      </c>
      <c r="D124" s="44">
        <f>C124*(C$138+D$119+D$120)</f>
        <v>60.2263200818226</v>
      </c>
    </row>
    <row r="125" spans="1:4" ht="16.5" thickBot="1" x14ac:dyDescent="0.3">
      <c r="A125" s="30"/>
      <c r="B125" s="68" t="s">
        <v>115</v>
      </c>
      <c r="C125" s="69">
        <v>0</v>
      </c>
      <c r="D125" s="70">
        <f>C125*(C$138+D$119+D$120)</f>
        <v>0</v>
      </c>
    </row>
    <row r="126" spans="1:4" ht="16.5" thickBot="1" x14ac:dyDescent="0.3">
      <c r="A126" s="30"/>
      <c r="B126" s="68" t="s">
        <v>116</v>
      </c>
      <c r="C126" s="69">
        <v>0.05</v>
      </c>
      <c r="D126" s="70">
        <f>C126*(C$138+D$119+D$120)</f>
        <v>182.50400024794726</v>
      </c>
    </row>
    <row r="127" spans="1:4" ht="16.5" thickBot="1" x14ac:dyDescent="0.3">
      <c r="A127" s="194" t="s">
        <v>70</v>
      </c>
      <c r="B127" s="195"/>
      <c r="C127" s="69">
        <f>C119+C120+C122+C125+C126</f>
        <v>0.29249999999999998</v>
      </c>
      <c r="D127" s="70">
        <f>D119+D120+D122+D125+D126</f>
        <v>1010.9832905664834</v>
      </c>
    </row>
    <row r="130" spans="1:3" x14ac:dyDescent="0.25">
      <c r="A130" s="192" t="s">
        <v>102</v>
      </c>
      <c r="B130" s="192"/>
      <c r="C130" s="192"/>
    </row>
    <row r="131" spans="1:3" ht="16.5" thickBot="1" x14ac:dyDescent="0.3"/>
    <row r="132" spans="1:3" ht="16.5" thickBot="1" x14ac:dyDescent="0.3">
      <c r="A132" s="28"/>
      <c r="B132" s="74" t="s">
        <v>103</v>
      </c>
      <c r="C132" s="74" t="s">
        <v>41</v>
      </c>
    </row>
    <row r="133" spans="1:3" ht="16.5" thickBot="1" x14ac:dyDescent="0.3">
      <c r="A133" s="37" t="s">
        <v>42</v>
      </c>
      <c r="B133" s="31" t="s">
        <v>39</v>
      </c>
      <c r="C133" s="67">
        <f>C17</f>
        <v>1372.51</v>
      </c>
    </row>
    <row r="134" spans="1:3" ht="16.5" thickBot="1" x14ac:dyDescent="0.3">
      <c r="A134" s="37" t="s">
        <v>44</v>
      </c>
      <c r="B134" s="31" t="s">
        <v>54</v>
      </c>
      <c r="C134" s="67">
        <f>C61</f>
        <v>1437.3024439613334</v>
      </c>
    </row>
    <row r="135" spans="1:3" ht="16.5" thickBot="1" x14ac:dyDescent="0.3">
      <c r="A135" s="37" t="s">
        <v>46</v>
      </c>
      <c r="B135" s="31" t="s">
        <v>77</v>
      </c>
      <c r="C135" s="67">
        <f>D73</f>
        <v>103.26216235999999</v>
      </c>
    </row>
    <row r="136" spans="1:3" ht="16.5" thickBot="1" x14ac:dyDescent="0.3">
      <c r="A136" s="37" t="s">
        <v>48</v>
      </c>
      <c r="B136" s="31" t="s">
        <v>85</v>
      </c>
      <c r="C136" s="67">
        <f>D88</f>
        <v>134.64323100000001</v>
      </c>
    </row>
    <row r="137" spans="1:3" ht="16.5" thickBot="1" x14ac:dyDescent="0.3">
      <c r="A137" s="37" t="s">
        <v>49</v>
      </c>
      <c r="B137" s="31" t="s">
        <v>97</v>
      </c>
      <c r="C137" s="67">
        <f>C113</f>
        <v>111.5152777777778</v>
      </c>
    </row>
    <row r="138" spans="1:3" ht="16.5" customHeight="1" thickBot="1" x14ac:dyDescent="0.3">
      <c r="A138" s="190" t="s">
        <v>104</v>
      </c>
      <c r="B138" s="191"/>
      <c r="C138" s="67">
        <f>SUM(C133:C137)</f>
        <v>3159.2331150991113</v>
      </c>
    </row>
    <row r="139" spans="1:3" ht="16.5" thickBot="1" x14ac:dyDescent="0.3">
      <c r="A139" s="37" t="s">
        <v>51</v>
      </c>
      <c r="B139" s="31" t="s">
        <v>105</v>
      </c>
      <c r="C139" s="67">
        <f>D127</f>
        <v>1010.9832905664834</v>
      </c>
    </row>
    <row r="140" spans="1:3" ht="16.5" customHeight="1" thickBot="1" x14ac:dyDescent="0.3">
      <c r="A140" s="190" t="s">
        <v>106</v>
      </c>
      <c r="B140" s="191"/>
      <c r="C140" s="71">
        <f>C138+C139</f>
        <v>4170.2164056655947</v>
      </c>
    </row>
  </sheetData>
  <mergeCells count="33">
    <mergeCell ref="A30:D30"/>
    <mergeCell ref="A1:D1"/>
    <mergeCell ref="A2:D2"/>
    <mergeCell ref="A3:D3"/>
    <mergeCell ref="B4:C4"/>
    <mergeCell ref="B5:C5"/>
    <mergeCell ref="B6:C6"/>
    <mergeCell ref="A7:C7"/>
    <mergeCell ref="A17:B17"/>
    <mergeCell ref="A20:C20"/>
    <mergeCell ref="A22:C22"/>
    <mergeCell ref="A27:B27"/>
    <mergeCell ref="A95:B95"/>
    <mergeCell ref="A41:B41"/>
    <mergeCell ref="A44:C44"/>
    <mergeCell ref="A52:B52"/>
    <mergeCell ref="A55:C55"/>
    <mergeCell ref="A61:B61"/>
    <mergeCell ref="A64:C64"/>
    <mergeCell ref="A73:B73"/>
    <mergeCell ref="A76:C76"/>
    <mergeCell ref="A79:C79"/>
    <mergeCell ref="A88:B88"/>
    <mergeCell ref="A91:C91"/>
    <mergeCell ref="A130:C130"/>
    <mergeCell ref="A138:B138"/>
    <mergeCell ref="A140:B140"/>
    <mergeCell ref="A98:C98"/>
    <mergeCell ref="A103:B103"/>
    <mergeCell ref="A106:C106"/>
    <mergeCell ref="A113:B113"/>
    <mergeCell ref="A116:C116"/>
    <mergeCell ref="A127:B12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showGridLines="0" topLeftCell="A110" zoomScaleNormal="100" workbookViewId="0">
      <selection activeCell="C119" sqref="C119:C120"/>
    </sheetView>
  </sheetViews>
  <sheetFormatPr defaultRowHeight="15.75" x14ac:dyDescent="0.25"/>
  <cols>
    <col min="1" max="1" width="16.28515625" style="36" customWidth="1"/>
    <col min="2" max="2" width="72.140625" style="36" customWidth="1"/>
    <col min="3" max="3" width="18" style="36" customWidth="1"/>
    <col min="4" max="4" width="14.28515625" style="36" customWidth="1"/>
    <col min="5" max="5" width="12.7109375" style="36" customWidth="1"/>
    <col min="6" max="6" width="12" style="36" customWidth="1"/>
    <col min="7" max="7" width="15.140625" style="36" customWidth="1"/>
    <col min="8" max="16384" width="9.140625" style="36"/>
  </cols>
  <sheetData>
    <row r="1" spans="1:4" ht="23.25" x14ac:dyDescent="0.35">
      <c r="A1" s="200" t="s">
        <v>107</v>
      </c>
      <c r="B1" s="200"/>
      <c r="C1" s="200"/>
      <c r="D1" s="200"/>
    </row>
    <row r="2" spans="1:4" ht="23.25" x14ac:dyDescent="0.35">
      <c r="A2" s="200" t="s">
        <v>108</v>
      </c>
      <c r="B2" s="200"/>
      <c r="C2" s="200"/>
      <c r="D2" s="200"/>
    </row>
    <row r="3" spans="1:4" ht="27.75" customHeight="1" x14ac:dyDescent="0.25">
      <c r="A3" s="202" t="s">
        <v>109</v>
      </c>
      <c r="B3" s="202"/>
      <c r="C3" s="202"/>
      <c r="D3" s="202"/>
    </row>
    <row r="4" spans="1:4" x14ac:dyDescent="0.25">
      <c r="A4" s="57" t="s">
        <v>117</v>
      </c>
      <c r="B4" s="197" t="s">
        <v>377</v>
      </c>
      <c r="C4" s="197"/>
    </row>
    <row r="5" spans="1:4" x14ac:dyDescent="0.25">
      <c r="A5" s="57" t="s">
        <v>118</v>
      </c>
      <c r="B5" s="197" t="s">
        <v>142</v>
      </c>
      <c r="C5" s="197"/>
    </row>
    <row r="6" spans="1:4" ht="20.25" customHeight="1" x14ac:dyDescent="0.25">
      <c r="A6" s="57" t="s">
        <v>119</v>
      </c>
      <c r="B6" s="205" t="s">
        <v>378</v>
      </c>
      <c r="C6" s="197"/>
    </row>
    <row r="7" spans="1:4" x14ac:dyDescent="0.25">
      <c r="A7" s="201" t="s">
        <v>39</v>
      </c>
      <c r="B7" s="201"/>
      <c r="C7" s="201"/>
    </row>
    <row r="8" spans="1:4" ht="16.5" thickBot="1" x14ac:dyDescent="0.3"/>
    <row r="9" spans="1:4" ht="16.5" thickBot="1" x14ac:dyDescent="0.3">
      <c r="A9" s="28">
        <v>1</v>
      </c>
      <c r="B9" s="83" t="s">
        <v>40</v>
      </c>
      <c r="C9" s="83" t="s">
        <v>41</v>
      </c>
    </row>
    <row r="10" spans="1:4" ht="16.5" thickBot="1" x14ac:dyDescent="0.3">
      <c r="A10" s="30" t="s">
        <v>42</v>
      </c>
      <c r="B10" s="31" t="s">
        <v>379</v>
      </c>
      <c r="C10" s="44">
        <v>1492.55</v>
      </c>
    </row>
    <row r="11" spans="1:4" ht="16.5" thickBot="1" x14ac:dyDescent="0.3">
      <c r="A11" s="30" t="s">
        <v>44</v>
      </c>
      <c r="B11" s="31" t="s">
        <v>45</v>
      </c>
      <c r="C11" s="44"/>
    </row>
    <row r="12" spans="1:4" ht="16.5" thickBot="1" x14ac:dyDescent="0.3">
      <c r="A12" s="30" t="s">
        <v>46</v>
      </c>
      <c r="B12" s="31" t="s">
        <v>47</v>
      </c>
      <c r="C12" s="44"/>
    </row>
    <row r="13" spans="1:4" ht="16.5" thickBot="1" x14ac:dyDescent="0.3">
      <c r="A13" s="30" t="s">
        <v>48</v>
      </c>
      <c r="B13" s="31" t="s">
        <v>4</v>
      </c>
      <c r="C13" s="44"/>
    </row>
    <row r="14" spans="1:4" ht="16.5" thickBot="1" x14ac:dyDescent="0.3">
      <c r="A14" s="30" t="s">
        <v>49</v>
      </c>
      <c r="B14" s="31" t="s">
        <v>50</v>
      </c>
      <c r="C14" s="44"/>
    </row>
    <row r="15" spans="1:4" ht="16.5" thickBot="1" x14ac:dyDescent="0.3">
      <c r="A15" s="30" t="s">
        <v>51</v>
      </c>
      <c r="B15" s="31"/>
      <c r="C15" s="44"/>
    </row>
    <row r="16" spans="1:4" ht="16.5" thickBot="1" x14ac:dyDescent="0.3">
      <c r="A16" s="30" t="s">
        <v>52</v>
      </c>
      <c r="B16" s="31" t="s">
        <v>53</v>
      </c>
      <c r="C16" s="44"/>
    </row>
    <row r="17" spans="1:4" ht="16.5" thickBot="1" x14ac:dyDescent="0.3">
      <c r="A17" s="190" t="s">
        <v>5</v>
      </c>
      <c r="B17" s="191"/>
      <c r="C17" s="64">
        <f>SUM(C10:C16)</f>
        <v>1492.55</v>
      </c>
    </row>
    <row r="20" spans="1:4" x14ac:dyDescent="0.25">
      <c r="A20" s="192" t="s">
        <v>54</v>
      </c>
      <c r="B20" s="192"/>
      <c r="C20" s="192"/>
    </row>
    <row r="21" spans="1:4" x14ac:dyDescent="0.25">
      <c r="A21" s="27"/>
    </row>
    <row r="22" spans="1:4" x14ac:dyDescent="0.25">
      <c r="A22" s="193" t="s">
        <v>55</v>
      </c>
      <c r="B22" s="193"/>
      <c r="C22" s="193"/>
    </row>
    <row r="23" spans="1:4" ht="16.5" thickBot="1" x14ac:dyDescent="0.3"/>
    <row r="24" spans="1:4" ht="16.5" thickBot="1" x14ac:dyDescent="0.3">
      <c r="A24" s="28" t="s">
        <v>56</v>
      </c>
      <c r="B24" s="83" t="s">
        <v>57</v>
      </c>
      <c r="C24" s="83" t="s">
        <v>63</v>
      </c>
      <c r="D24" s="83" t="s">
        <v>41</v>
      </c>
    </row>
    <row r="25" spans="1:4" ht="16.5" thickBot="1" x14ac:dyDescent="0.3">
      <c r="A25" s="30" t="s">
        <v>42</v>
      </c>
      <c r="B25" s="60" t="s">
        <v>58</v>
      </c>
      <c r="C25" s="56">
        <f>1/12</f>
        <v>8.3333333333333329E-2</v>
      </c>
      <c r="D25" s="61">
        <f>C$17*C25</f>
        <v>124.37916666666666</v>
      </c>
    </row>
    <row r="26" spans="1:4" ht="16.5" thickBot="1" x14ac:dyDescent="0.3">
      <c r="A26" s="30" t="s">
        <v>44</v>
      </c>
      <c r="B26" s="58" t="s">
        <v>59</v>
      </c>
      <c r="C26" s="62">
        <v>0.1111</v>
      </c>
      <c r="D26" s="63">
        <f>C$17*C26</f>
        <v>165.822305</v>
      </c>
    </row>
    <row r="27" spans="1:4" ht="16.5" thickBot="1" x14ac:dyDescent="0.3">
      <c r="A27" s="190" t="s">
        <v>5</v>
      </c>
      <c r="B27" s="191"/>
      <c r="C27" s="65">
        <f>SUM(C25:C26)</f>
        <v>0.19443333333333335</v>
      </c>
      <c r="D27" s="66">
        <f>C$17*C27</f>
        <v>290.20147166666669</v>
      </c>
    </row>
    <row r="30" spans="1:4" ht="32.25" customHeight="1" x14ac:dyDescent="0.25">
      <c r="A30" s="196" t="s">
        <v>60</v>
      </c>
      <c r="B30" s="196"/>
      <c r="C30" s="196"/>
      <c r="D30" s="196"/>
    </row>
    <row r="31" spans="1:4" ht="16.5" thickBot="1" x14ac:dyDescent="0.3"/>
    <row r="32" spans="1:4" ht="16.5" thickBot="1" x14ac:dyDescent="0.3">
      <c r="A32" s="28" t="s">
        <v>61</v>
      </c>
      <c r="B32" s="83" t="s">
        <v>62</v>
      </c>
      <c r="C32" s="83" t="s">
        <v>63</v>
      </c>
      <c r="D32" s="83" t="s">
        <v>41</v>
      </c>
    </row>
    <row r="33" spans="1:4" ht="16.5" thickBot="1" x14ac:dyDescent="0.3">
      <c r="A33" s="30" t="s">
        <v>42</v>
      </c>
      <c r="B33" s="31" t="s">
        <v>64</v>
      </c>
      <c r="C33" s="33">
        <v>0.2</v>
      </c>
      <c r="D33" s="63">
        <f t="shared" ref="D33:D41" si="0">(D$27+C$17)*C33</f>
        <v>356.55029433333334</v>
      </c>
    </row>
    <row r="34" spans="1:4" ht="16.5" thickBot="1" x14ac:dyDescent="0.3">
      <c r="A34" s="30" t="s">
        <v>44</v>
      </c>
      <c r="B34" s="31" t="s">
        <v>65</v>
      </c>
      <c r="C34" s="33">
        <v>2.5000000000000001E-2</v>
      </c>
      <c r="D34" s="63">
        <f t="shared" si="0"/>
        <v>44.568786791666668</v>
      </c>
    </row>
    <row r="35" spans="1:4" ht="16.5" thickBot="1" x14ac:dyDescent="0.3">
      <c r="A35" s="30" t="s">
        <v>46</v>
      </c>
      <c r="B35" s="31" t="s">
        <v>66</v>
      </c>
      <c r="C35" s="45">
        <v>0.01</v>
      </c>
      <c r="D35" s="63">
        <f t="shared" si="0"/>
        <v>17.827514716666666</v>
      </c>
    </row>
    <row r="36" spans="1:4" ht="16.5" thickBot="1" x14ac:dyDescent="0.3">
      <c r="A36" s="30" t="s">
        <v>48</v>
      </c>
      <c r="B36" s="31" t="s">
        <v>67</v>
      </c>
      <c r="C36" s="33">
        <v>1.4999999999999999E-2</v>
      </c>
      <c r="D36" s="63">
        <f t="shared" si="0"/>
        <v>26.741272075000001</v>
      </c>
    </row>
    <row r="37" spans="1:4" ht="16.5" thickBot="1" x14ac:dyDescent="0.3">
      <c r="A37" s="30" t="s">
        <v>49</v>
      </c>
      <c r="B37" s="31" t="s">
        <v>68</v>
      </c>
      <c r="C37" s="33">
        <v>0.01</v>
      </c>
      <c r="D37" s="63">
        <f t="shared" si="0"/>
        <v>17.827514716666666</v>
      </c>
    </row>
    <row r="38" spans="1:4" ht="16.5" thickBot="1" x14ac:dyDescent="0.3">
      <c r="A38" s="30" t="s">
        <v>51</v>
      </c>
      <c r="B38" s="31" t="s">
        <v>7</v>
      </c>
      <c r="C38" s="33">
        <v>6.0000000000000001E-3</v>
      </c>
      <c r="D38" s="63">
        <f t="shared" si="0"/>
        <v>10.696508830000001</v>
      </c>
    </row>
    <row r="39" spans="1:4" ht="16.5" thickBot="1" x14ac:dyDescent="0.3">
      <c r="A39" s="30" t="s">
        <v>52</v>
      </c>
      <c r="B39" s="31" t="s">
        <v>8</v>
      </c>
      <c r="C39" s="33">
        <v>2E-3</v>
      </c>
      <c r="D39" s="63">
        <f t="shared" si="0"/>
        <v>3.5655029433333336</v>
      </c>
    </row>
    <row r="40" spans="1:4" ht="16.5" thickBot="1" x14ac:dyDescent="0.3">
      <c r="A40" s="30" t="s">
        <v>69</v>
      </c>
      <c r="B40" s="31" t="s">
        <v>9</v>
      </c>
      <c r="C40" s="33">
        <v>0.08</v>
      </c>
      <c r="D40" s="63">
        <f t="shared" si="0"/>
        <v>142.62011773333333</v>
      </c>
    </row>
    <row r="41" spans="1:4" ht="16.5" thickBot="1" x14ac:dyDescent="0.3">
      <c r="A41" s="190" t="s">
        <v>70</v>
      </c>
      <c r="B41" s="191"/>
      <c r="C41" s="33">
        <f>SUM(C33:C40)</f>
        <v>0.34800000000000003</v>
      </c>
      <c r="D41" s="63">
        <f t="shared" si="0"/>
        <v>620.39751214000012</v>
      </c>
    </row>
    <row r="44" spans="1:4" x14ac:dyDescent="0.25">
      <c r="A44" s="193" t="s">
        <v>71</v>
      </c>
      <c r="B44" s="193"/>
      <c r="C44" s="193"/>
    </row>
    <row r="45" spans="1:4" ht="16.5" thickBot="1" x14ac:dyDescent="0.3"/>
    <row r="46" spans="1:4" ht="16.5" thickBot="1" x14ac:dyDescent="0.3">
      <c r="A46" s="28" t="s">
        <v>72</v>
      </c>
      <c r="B46" s="83" t="s">
        <v>73</v>
      </c>
      <c r="C46" s="83" t="s">
        <v>41</v>
      </c>
    </row>
    <row r="47" spans="1:4" ht="16.5" thickBot="1" x14ac:dyDescent="0.3">
      <c r="A47" s="30" t="s">
        <v>42</v>
      </c>
      <c r="B47" s="31" t="s">
        <v>74</v>
      </c>
      <c r="C47" s="50">
        <f>'Planilhas de Apoio'!D17</f>
        <v>102.44940000000001</v>
      </c>
    </row>
    <row r="48" spans="1:4" ht="16.5" thickBot="1" x14ac:dyDescent="0.3">
      <c r="A48" s="30" t="s">
        <v>44</v>
      </c>
      <c r="B48" s="31" t="s">
        <v>120</v>
      </c>
      <c r="C48" s="44">
        <f>'Planilhas de Apoio'!D22</f>
        <v>462</v>
      </c>
    </row>
    <row r="49" spans="1:3" ht="16.5" thickBot="1" x14ac:dyDescent="0.3">
      <c r="A49" s="30" t="s">
        <v>46</v>
      </c>
      <c r="B49" s="31" t="s">
        <v>131</v>
      </c>
      <c r="C49" s="44">
        <v>0</v>
      </c>
    </row>
    <row r="50" spans="1:3" ht="16.5" thickBot="1" x14ac:dyDescent="0.3">
      <c r="A50" s="73" t="s">
        <v>48</v>
      </c>
      <c r="B50" s="72" t="s">
        <v>121</v>
      </c>
      <c r="C50" s="44"/>
    </row>
    <row r="51" spans="1:3" ht="16.5" thickBot="1" x14ac:dyDescent="0.3">
      <c r="A51" s="73" t="s">
        <v>49</v>
      </c>
      <c r="B51" s="59" t="s">
        <v>122</v>
      </c>
      <c r="C51" s="44">
        <v>0</v>
      </c>
    </row>
    <row r="52" spans="1:3" ht="16.5" thickBot="1" x14ac:dyDescent="0.3">
      <c r="A52" s="203" t="s">
        <v>5</v>
      </c>
      <c r="B52" s="204"/>
      <c r="C52" s="44">
        <f>SUM(C47:C50)</f>
        <v>564.44939999999997</v>
      </c>
    </row>
    <row r="55" spans="1:3" x14ac:dyDescent="0.25">
      <c r="A55" s="193" t="s">
        <v>75</v>
      </c>
      <c r="B55" s="193"/>
      <c r="C55" s="193"/>
    </row>
    <row r="56" spans="1:3" ht="16.5" thickBot="1" x14ac:dyDescent="0.3"/>
    <row r="57" spans="1:3" ht="16.5" thickBot="1" x14ac:dyDescent="0.3">
      <c r="A57" s="28">
        <v>2</v>
      </c>
      <c r="B57" s="83" t="s">
        <v>76</v>
      </c>
      <c r="C57" s="83" t="s">
        <v>41</v>
      </c>
    </row>
    <row r="58" spans="1:3" ht="16.5" thickBot="1" x14ac:dyDescent="0.3">
      <c r="A58" s="30" t="s">
        <v>56</v>
      </c>
      <c r="B58" s="31" t="s">
        <v>57</v>
      </c>
      <c r="C58" s="44">
        <f>D27</f>
        <v>290.20147166666669</v>
      </c>
    </row>
    <row r="59" spans="1:3" ht="16.5" thickBot="1" x14ac:dyDescent="0.3">
      <c r="A59" s="30" t="s">
        <v>61</v>
      </c>
      <c r="B59" s="31" t="s">
        <v>62</v>
      </c>
      <c r="C59" s="44">
        <f>D41</f>
        <v>620.39751214000012</v>
      </c>
    </row>
    <row r="60" spans="1:3" ht="16.5" thickBot="1" x14ac:dyDescent="0.3">
      <c r="A60" s="30" t="s">
        <v>72</v>
      </c>
      <c r="B60" s="31" t="s">
        <v>73</v>
      </c>
      <c r="C60" s="44">
        <f>C52</f>
        <v>564.44939999999997</v>
      </c>
    </row>
    <row r="61" spans="1:3" ht="16.5" thickBot="1" x14ac:dyDescent="0.3">
      <c r="A61" s="190" t="s">
        <v>5</v>
      </c>
      <c r="B61" s="191"/>
      <c r="C61" s="44">
        <f>SUM(C58:C60)</f>
        <v>1475.0483838066668</v>
      </c>
    </row>
    <row r="62" spans="1:3" x14ac:dyDescent="0.25">
      <c r="A62" s="6"/>
    </row>
    <row r="64" spans="1:3" x14ac:dyDescent="0.25">
      <c r="A64" s="192" t="s">
        <v>77</v>
      </c>
      <c r="B64" s="192"/>
      <c r="C64" s="192"/>
    </row>
    <row r="65" spans="1:4" ht="16.5" thickBot="1" x14ac:dyDescent="0.3"/>
    <row r="66" spans="1:4" ht="16.5" thickBot="1" x14ac:dyDescent="0.3">
      <c r="A66" s="28">
        <v>3</v>
      </c>
      <c r="B66" s="83" t="s">
        <v>78</v>
      </c>
      <c r="C66" s="83" t="s">
        <v>63</v>
      </c>
      <c r="D66" s="83" t="s">
        <v>41</v>
      </c>
    </row>
    <row r="67" spans="1:4" ht="16.5" thickBot="1" x14ac:dyDescent="0.3">
      <c r="A67" s="30" t="s">
        <v>42</v>
      </c>
      <c r="B67" s="34" t="s">
        <v>79</v>
      </c>
      <c r="C67" s="53">
        <v>4.1999999999999997E-3</v>
      </c>
      <c r="D67" s="44">
        <f>(C$17)*C67</f>
        <v>6.2687099999999996</v>
      </c>
    </row>
    <row r="68" spans="1:4" ht="16.5" thickBot="1" x14ac:dyDescent="0.3">
      <c r="A68" s="30" t="s">
        <v>44</v>
      </c>
      <c r="B68" s="51" t="s">
        <v>80</v>
      </c>
      <c r="C68" s="54">
        <f>C67*8%</f>
        <v>3.3599999999999998E-4</v>
      </c>
      <c r="D68" s="44">
        <f t="shared" ref="D68:D73" si="1">(C$17)*C68</f>
        <v>0.50149679999999996</v>
      </c>
    </row>
    <row r="69" spans="1:4" ht="16.5" thickBot="1" x14ac:dyDescent="0.3">
      <c r="A69" s="30" t="s">
        <v>46</v>
      </c>
      <c r="B69" s="34" t="s">
        <v>81</v>
      </c>
      <c r="C69" s="52">
        <v>4.3499999999999997E-2</v>
      </c>
      <c r="D69" s="44">
        <f t="shared" si="1"/>
        <v>64.925924999999992</v>
      </c>
    </row>
    <row r="70" spans="1:4" ht="16.5" thickBot="1" x14ac:dyDescent="0.3">
      <c r="A70" s="30" t="s">
        <v>48</v>
      </c>
      <c r="B70" s="34" t="s">
        <v>82</v>
      </c>
      <c r="C70" s="55">
        <v>1.9400000000000001E-2</v>
      </c>
      <c r="D70" s="44">
        <f t="shared" si="1"/>
        <v>28.955469999999998</v>
      </c>
    </row>
    <row r="71" spans="1:4" ht="16.5" thickBot="1" x14ac:dyDescent="0.3">
      <c r="A71" s="30" t="s">
        <v>49</v>
      </c>
      <c r="B71" s="34" t="s">
        <v>83</v>
      </c>
      <c r="C71" s="52">
        <v>7.0000000000000001E-3</v>
      </c>
      <c r="D71" s="44">
        <f t="shared" si="1"/>
        <v>10.447850000000001</v>
      </c>
    </row>
    <row r="72" spans="1:4" ht="16.5" thickBot="1" x14ac:dyDescent="0.3">
      <c r="A72" s="30" t="s">
        <v>51</v>
      </c>
      <c r="B72" s="34" t="s">
        <v>84</v>
      </c>
      <c r="C72" s="52">
        <v>8.0000000000000004E-4</v>
      </c>
      <c r="D72" s="44">
        <f t="shared" si="1"/>
        <v>1.19404</v>
      </c>
    </row>
    <row r="73" spans="1:4" ht="16.5" thickBot="1" x14ac:dyDescent="0.3">
      <c r="A73" s="190" t="s">
        <v>5</v>
      </c>
      <c r="B73" s="191"/>
      <c r="C73" s="52">
        <f>SUM(C67:C72)</f>
        <v>7.5235999999999997E-2</v>
      </c>
      <c r="D73" s="44">
        <f t="shared" si="1"/>
        <v>112.2934918</v>
      </c>
    </row>
    <row r="76" spans="1:4" x14ac:dyDescent="0.25">
      <c r="A76" s="192" t="s">
        <v>85</v>
      </c>
      <c r="B76" s="192"/>
      <c r="C76" s="192"/>
    </row>
    <row r="79" spans="1:4" x14ac:dyDescent="0.25">
      <c r="A79" s="193" t="s">
        <v>86</v>
      </c>
      <c r="B79" s="193"/>
      <c r="C79" s="193"/>
    </row>
    <row r="80" spans="1:4" ht="16.5" thickBot="1" x14ac:dyDescent="0.3">
      <c r="A80" s="27"/>
    </row>
    <row r="81" spans="1:4" ht="16.5" thickBot="1" x14ac:dyDescent="0.3">
      <c r="A81" s="28" t="s">
        <v>87</v>
      </c>
      <c r="B81" s="83" t="s">
        <v>88</v>
      </c>
      <c r="C81" s="83" t="s">
        <v>63</v>
      </c>
      <c r="D81" s="83" t="s">
        <v>41</v>
      </c>
    </row>
    <row r="82" spans="1:4" ht="16.5" thickBot="1" x14ac:dyDescent="0.3">
      <c r="A82" s="30" t="s">
        <v>42</v>
      </c>
      <c r="B82" s="31" t="s">
        <v>6</v>
      </c>
      <c r="C82" s="52">
        <v>8.3299999999999999E-2</v>
      </c>
      <c r="D82" s="44">
        <f>(C$17)*C82</f>
        <v>124.329415</v>
      </c>
    </row>
    <row r="83" spans="1:4" ht="16.5" thickBot="1" x14ac:dyDescent="0.3">
      <c r="A83" s="30" t="s">
        <v>44</v>
      </c>
      <c r="B83" s="31" t="s">
        <v>88</v>
      </c>
      <c r="C83" s="52">
        <v>8.2000000000000007E-3</v>
      </c>
      <c r="D83" s="44">
        <f t="shared" ref="D83:D88" si="2">(C$17)*C83</f>
        <v>12.238910000000001</v>
      </c>
    </row>
    <row r="84" spans="1:4" ht="16.5" thickBot="1" x14ac:dyDescent="0.3">
      <c r="A84" s="30" t="s">
        <v>46</v>
      </c>
      <c r="B84" s="31" t="s">
        <v>89</v>
      </c>
      <c r="C84" s="52">
        <v>2.0000000000000001E-4</v>
      </c>
      <c r="D84" s="44">
        <f t="shared" si="2"/>
        <v>0.29851</v>
      </c>
    </row>
    <row r="85" spans="1:4" ht="16.5" thickBot="1" x14ac:dyDescent="0.3">
      <c r="A85" s="30" t="s">
        <v>48</v>
      </c>
      <c r="B85" s="31" t="s">
        <v>90</v>
      </c>
      <c r="C85" s="52">
        <v>2.9999999999999997E-4</v>
      </c>
      <c r="D85" s="44">
        <f t="shared" si="2"/>
        <v>0.44776499999999997</v>
      </c>
    </row>
    <row r="86" spans="1:4" ht="16.5" thickBot="1" x14ac:dyDescent="0.3">
      <c r="A86" s="30" t="s">
        <v>49</v>
      </c>
      <c r="B86" s="31" t="s">
        <v>91</v>
      </c>
      <c r="C86" s="52">
        <v>6.1000000000000004E-3</v>
      </c>
      <c r="D86" s="44">
        <f t="shared" si="2"/>
        <v>9.1045549999999995</v>
      </c>
    </row>
    <row r="87" spans="1:4" ht="16.5" thickBot="1" x14ac:dyDescent="0.3">
      <c r="A87" s="30" t="s">
        <v>51</v>
      </c>
      <c r="B87" s="31" t="s">
        <v>53</v>
      </c>
      <c r="C87" s="52">
        <v>0</v>
      </c>
      <c r="D87" s="44">
        <f t="shared" si="2"/>
        <v>0</v>
      </c>
    </row>
    <row r="88" spans="1:4" ht="16.5" thickBot="1" x14ac:dyDescent="0.3">
      <c r="A88" s="190" t="s">
        <v>70</v>
      </c>
      <c r="B88" s="191"/>
      <c r="C88" s="52">
        <v>9.8100000000000007E-2</v>
      </c>
      <c r="D88" s="44">
        <f t="shared" si="2"/>
        <v>146.41915500000002</v>
      </c>
    </row>
    <row r="91" spans="1:4" x14ac:dyDescent="0.25">
      <c r="A91" s="193" t="s">
        <v>92</v>
      </c>
      <c r="B91" s="193"/>
      <c r="C91" s="193"/>
    </row>
    <row r="92" spans="1:4" ht="16.5" thickBot="1" x14ac:dyDescent="0.3">
      <c r="A92" s="27"/>
    </row>
    <row r="93" spans="1:4" ht="16.5" thickBot="1" x14ac:dyDescent="0.3">
      <c r="A93" s="28" t="s">
        <v>93</v>
      </c>
      <c r="B93" s="83" t="s">
        <v>94</v>
      </c>
      <c r="C93" s="83" t="s">
        <v>41</v>
      </c>
    </row>
    <row r="94" spans="1:4" ht="16.5" thickBot="1" x14ac:dyDescent="0.3">
      <c r="A94" s="30" t="s">
        <v>42</v>
      </c>
      <c r="B94" s="31" t="s">
        <v>110</v>
      </c>
      <c r="C94" s="43"/>
    </row>
    <row r="95" spans="1:4" ht="16.5" thickBot="1" x14ac:dyDescent="0.3">
      <c r="A95" s="190" t="s">
        <v>5</v>
      </c>
      <c r="B95" s="191"/>
      <c r="C95" s="43"/>
    </row>
    <row r="98" spans="1:3" x14ac:dyDescent="0.25">
      <c r="A98" s="193" t="s">
        <v>95</v>
      </c>
      <c r="B98" s="193"/>
      <c r="C98" s="193"/>
    </row>
    <row r="99" spans="1:3" ht="16.5" thickBot="1" x14ac:dyDescent="0.3">
      <c r="A99" s="27"/>
    </row>
    <row r="100" spans="1:3" ht="16.5" thickBot="1" x14ac:dyDescent="0.3">
      <c r="A100" s="28">
        <v>4</v>
      </c>
      <c r="B100" s="83" t="s">
        <v>96</v>
      </c>
      <c r="C100" s="83" t="s">
        <v>41</v>
      </c>
    </row>
    <row r="101" spans="1:3" ht="16.5" thickBot="1" x14ac:dyDescent="0.3">
      <c r="A101" s="30" t="s">
        <v>87</v>
      </c>
      <c r="B101" s="31" t="s">
        <v>88</v>
      </c>
      <c r="C101" s="44">
        <f>D88</f>
        <v>146.41915500000002</v>
      </c>
    </row>
    <row r="102" spans="1:3" ht="16.5" thickBot="1" x14ac:dyDescent="0.3">
      <c r="A102" s="30" t="s">
        <v>93</v>
      </c>
      <c r="B102" s="31" t="s">
        <v>94</v>
      </c>
      <c r="C102" s="44">
        <f>C95</f>
        <v>0</v>
      </c>
    </row>
    <row r="103" spans="1:3" ht="16.5" thickBot="1" x14ac:dyDescent="0.3">
      <c r="A103" s="190" t="s">
        <v>5</v>
      </c>
      <c r="B103" s="191"/>
      <c r="C103" s="64">
        <f>C101+C102</f>
        <v>146.41915500000002</v>
      </c>
    </row>
    <row r="106" spans="1:3" x14ac:dyDescent="0.25">
      <c r="A106" s="192" t="s">
        <v>97</v>
      </c>
      <c r="B106" s="192"/>
      <c r="C106" s="192"/>
    </row>
    <row r="107" spans="1:3" ht="16.5" thickBot="1" x14ac:dyDescent="0.3"/>
    <row r="108" spans="1:3" ht="16.5" thickBot="1" x14ac:dyDescent="0.3">
      <c r="A108" s="28">
        <v>5</v>
      </c>
      <c r="B108" s="35" t="s">
        <v>24</v>
      </c>
      <c r="C108" s="83" t="s">
        <v>41</v>
      </c>
    </row>
    <row r="109" spans="1:3" ht="16.5" thickBot="1" x14ac:dyDescent="0.3">
      <c r="A109" s="30" t="s">
        <v>42</v>
      </c>
      <c r="B109" s="31" t="s">
        <v>98</v>
      </c>
      <c r="C109" s="44">
        <f>'Planilhas de Apoio'!C39</f>
        <v>86.948888888888902</v>
      </c>
    </row>
    <row r="110" spans="1:3" ht="16.5" thickBot="1" x14ac:dyDescent="0.3">
      <c r="A110" s="30" t="s">
        <v>44</v>
      </c>
      <c r="B110" s="31" t="s">
        <v>99</v>
      </c>
      <c r="C110" s="44">
        <v>0</v>
      </c>
    </row>
    <row r="111" spans="1:3" ht="16.5" thickBot="1" x14ac:dyDescent="0.3">
      <c r="A111" s="30" t="s">
        <v>46</v>
      </c>
      <c r="B111" s="31" t="s">
        <v>100</v>
      </c>
      <c r="C111" s="44">
        <v>0</v>
      </c>
    </row>
    <row r="112" spans="1:3" ht="16.5" thickBot="1" x14ac:dyDescent="0.3">
      <c r="A112" s="30" t="s">
        <v>48</v>
      </c>
      <c r="B112" s="31" t="s">
        <v>53</v>
      </c>
      <c r="C112" s="44">
        <v>0</v>
      </c>
    </row>
    <row r="113" spans="1:4" ht="16.5" thickBot="1" x14ac:dyDescent="0.3">
      <c r="A113" s="190" t="s">
        <v>70</v>
      </c>
      <c r="B113" s="191"/>
      <c r="C113" s="44">
        <f>SUM(C109:C112)</f>
        <v>86.948888888888902</v>
      </c>
    </row>
    <row r="116" spans="1:4" x14ac:dyDescent="0.25">
      <c r="A116" s="192" t="s">
        <v>101</v>
      </c>
      <c r="B116" s="192"/>
      <c r="C116" s="192"/>
    </row>
    <row r="117" spans="1:4" ht="16.5" thickBot="1" x14ac:dyDescent="0.3"/>
    <row r="118" spans="1:4" ht="16.5" thickBot="1" x14ac:dyDescent="0.3">
      <c r="A118" s="28">
        <v>6</v>
      </c>
      <c r="B118" s="35" t="s">
        <v>25</v>
      </c>
      <c r="C118" s="83" t="s">
        <v>63</v>
      </c>
      <c r="D118" s="83" t="s">
        <v>41</v>
      </c>
    </row>
    <row r="119" spans="1:4" ht="16.5" thickBot="1" x14ac:dyDescent="0.3">
      <c r="A119" s="30" t="s">
        <v>42</v>
      </c>
      <c r="B119" s="68" t="s">
        <v>26</v>
      </c>
      <c r="C119" s="188">
        <v>9.0999999999999998E-2</v>
      </c>
      <c r="D119" s="70">
        <f>C119*C138</f>
        <v>301.50665267409556</v>
      </c>
    </row>
    <row r="120" spans="1:4" ht="16.5" thickBot="1" x14ac:dyDescent="0.3">
      <c r="A120" s="30" t="s">
        <v>44</v>
      </c>
      <c r="B120" s="68" t="s">
        <v>28</v>
      </c>
      <c r="C120" s="188">
        <v>5.8999999999999997E-2</v>
      </c>
      <c r="D120" s="70">
        <f>C120*(C138+D119)</f>
        <v>213.27122775800945</v>
      </c>
    </row>
    <row r="121" spans="1:4" ht="16.5" thickBot="1" x14ac:dyDescent="0.3">
      <c r="A121" s="30" t="s">
        <v>46</v>
      </c>
      <c r="B121" s="31" t="s">
        <v>27</v>
      </c>
      <c r="C121" s="33"/>
      <c r="D121" s="44">
        <f>(C$17+C$61+D$73+C$103+C$113)*C121</f>
        <v>0</v>
      </c>
    </row>
    <row r="122" spans="1:4" ht="16.5" thickBot="1" x14ac:dyDescent="0.3">
      <c r="A122" s="30"/>
      <c r="B122" s="68" t="s">
        <v>114</v>
      </c>
      <c r="C122" s="69">
        <f>C123+C124</f>
        <v>9.2499999999999999E-2</v>
      </c>
      <c r="D122" s="70">
        <f>C122*(C$138+D$119+D$120)</f>
        <v>354.09349649330863</v>
      </c>
    </row>
    <row r="123" spans="1:4" ht="16.5" thickBot="1" x14ac:dyDescent="0.3">
      <c r="A123" s="30"/>
      <c r="B123" s="31" t="s">
        <v>112</v>
      </c>
      <c r="C123" s="33">
        <v>7.5999999999999998E-2</v>
      </c>
      <c r="D123" s="44">
        <f>C123*(C$138+D$119+D$120)</f>
        <v>290.93087279450225</v>
      </c>
    </row>
    <row r="124" spans="1:4" ht="16.5" thickBot="1" x14ac:dyDescent="0.3">
      <c r="A124" s="30"/>
      <c r="B124" s="31" t="s">
        <v>113</v>
      </c>
      <c r="C124" s="33">
        <v>1.6500000000000001E-2</v>
      </c>
      <c r="D124" s="44">
        <f>C124*(C$138+D$119+D$120)</f>
        <v>63.162623698806414</v>
      </c>
    </row>
    <row r="125" spans="1:4" ht="16.5" thickBot="1" x14ac:dyDescent="0.3">
      <c r="A125" s="30"/>
      <c r="B125" s="68" t="s">
        <v>115</v>
      </c>
      <c r="C125" s="69">
        <v>0</v>
      </c>
      <c r="D125" s="70">
        <f>C125*(C$138+D$119+D$120)</f>
        <v>0</v>
      </c>
    </row>
    <row r="126" spans="1:4" ht="16.5" thickBot="1" x14ac:dyDescent="0.3">
      <c r="A126" s="30"/>
      <c r="B126" s="68" t="s">
        <v>116</v>
      </c>
      <c r="C126" s="69">
        <v>0.05</v>
      </c>
      <c r="D126" s="70">
        <f>C126*(C$138+D$119+D$120)</f>
        <v>191.40188999638306</v>
      </c>
    </row>
    <row r="127" spans="1:4" ht="16.5" thickBot="1" x14ac:dyDescent="0.3">
      <c r="A127" s="194" t="s">
        <v>70</v>
      </c>
      <c r="B127" s="195"/>
      <c r="C127" s="69">
        <f>C119+C120+C122+C125+C126</f>
        <v>0.29249999999999998</v>
      </c>
      <c r="D127" s="70">
        <f>D119+D120+D122+D125+D126</f>
        <v>1060.2732669217967</v>
      </c>
    </row>
    <row r="130" spans="1:3" x14ac:dyDescent="0.25">
      <c r="A130" s="192" t="s">
        <v>102</v>
      </c>
      <c r="B130" s="192"/>
      <c r="C130" s="192"/>
    </row>
    <row r="131" spans="1:3" ht="16.5" thickBot="1" x14ac:dyDescent="0.3"/>
    <row r="132" spans="1:3" ht="16.5" thickBot="1" x14ac:dyDescent="0.3">
      <c r="A132" s="28"/>
      <c r="B132" s="83" t="s">
        <v>103</v>
      </c>
      <c r="C132" s="83" t="s">
        <v>41</v>
      </c>
    </row>
    <row r="133" spans="1:3" ht="16.5" thickBot="1" x14ac:dyDescent="0.3">
      <c r="A133" s="37" t="s">
        <v>42</v>
      </c>
      <c r="B133" s="31" t="s">
        <v>39</v>
      </c>
      <c r="C133" s="67">
        <f>C17</f>
        <v>1492.55</v>
      </c>
    </row>
    <row r="134" spans="1:3" ht="16.5" thickBot="1" x14ac:dyDescent="0.3">
      <c r="A134" s="37" t="s">
        <v>44</v>
      </c>
      <c r="B134" s="31" t="s">
        <v>54</v>
      </c>
      <c r="C134" s="67">
        <f>C61</f>
        <v>1475.0483838066668</v>
      </c>
    </row>
    <row r="135" spans="1:3" ht="16.5" thickBot="1" x14ac:dyDescent="0.3">
      <c r="A135" s="37" t="s">
        <v>46</v>
      </c>
      <c r="B135" s="31" t="s">
        <v>77</v>
      </c>
      <c r="C135" s="67">
        <f>D73</f>
        <v>112.2934918</v>
      </c>
    </row>
    <row r="136" spans="1:3" ht="16.5" thickBot="1" x14ac:dyDescent="0.3">
      <c r="A136" s="37" t="s">
        <v>48</v>
      </c>
      <c r="B136" s="31" t="s">
        <v>85</v>
      </c>
      <c r="C136" s="67">
        <f>D88</f>
        <v>146.41915500000002</v>
      </c>
    </row>
    <row r="137" spans="1:3" ht="16.5" thickBot="1" x14ac:dyDescent="0.3">
      <c r="A137" s="37" t="s">
        <v>49</v>
      </c>
      <c r="B137" s="31" t="s">
        <v>97</v>
      </c>
      <c r="C137" s="67">
        <f>C113</f>
        <v>86.948888888888902</v>
      </c>
    </row>
    <row r="138" spans="1:3" ht="16.5" customHeight="1" thickBot="1" x14ac:dyDescent="0.3">
      <c r="A138" s="190" t="s">
        <v>104</v>
      </c>
      <c r="B138" s="191"/>
      <c r="C138" s="67">
        <f>SUM(C133:C137)</f>
        <v>3313.259919495556</v>
      </c>
    </row>
    <row r="139" spans="1:3" ht="16.5" thickBot="1" x14ac:dyDescent="0.3">
      <c r="A139" s="37" t="s">
        <v>51</v>
      </c>
      <c r="B139" s="31" t="s">
        <v>105</v>
      </c>
      <c r="C139" s="67">
        <f>D127</f>
        <v>1060.2732669217967</v>
      </c>
    </row>
    <row r="140" spans="1:3" ht="16.5" customHeight="1" thickBot="1" x14ac:dyDescent="0.3">
      <c r="A140" s="190" t="s">
        <v>106</v>
      </c>
      <c r="B140" s="191"/>
      <c r="C140" s="71">
        <f>C138+C139</f>
        <v>4373.5331864173531</v>
      </c>
    </row>
  </sheetData>
  <mergeCells count="33">
    <mergeCell ref="A30:D30"/>
    <mergeCell ref="A1:D1"/>
    <mergeCell ref="A2:D2"/>
    <mergeCell ref="A3:D3"/>
    <mergeCell ref="B4:C4"/>
    <mergeCell ref="B5:C5"/>
    <mergeCell ref="B6:C6"/>
    <mergeCell ref="A7:C7"/>
    <mergeCell ref="A17:B17"/>
    <mergeCell ref="A20:C20"/>
    <mergeCell ref="A22:C22"/>
    <mergeCell ref="A27:B27"/>
    <mergeCell ref="A95:B95"/>
    <mergeCell ref="A41:B41"/>
    <mergeCell ref="A44:C44"/>
    <mergeCell ref="A52:B52"/>
    <mergeCell ref="A55:C55"/>
    <mergeCell ref="A61:B61"/>
    <mergeCell ref="A64:C64"/>
    <mergeCell ref="A73:B73"/>
    <mergeCell ref="A76:C76"/>
    <mergeCell ref="A79:C79"/>
    <mergeCell ref="A88:B88"/>
    <mergeCell ref="A91:C91"/>
    <mergeCell ref="A130:C130"/>
    <mergeCell ref="A138:B138"/>
    <mergeCell ref="A140:B140"/>
    <mergeCell ref="A98:C98"/>
    <mergeCell ref="A103:B103"/>
    <mergeCell ref="A106:C106"/>
    <mergeCell ref="A113:B113"/>
    <mergeCell ref="A116:C116"/>
    <mergeCell ref="A127:B12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showGridLines="0" topLeftCell="A110" zoomScaleNormal="100" workbookViewId="0">
      <selection activeCell="C119" sqref="C119:C120"/>
    </sheetView>
  </sheetViews>
  <sheetFormatPr defaultRowHeight="15.75" x14ac:dyDescent="0.25"/>
  <cols>
    <col min="1" max="1" width="16.28515625" style="36" customWidth="1"/>
    <col min="2" max="2" width="72.140625" style="36" customWidth="1"/>
    <col min="3" max="3" width="18" style="36" customWidth="1"/>
    <col min="4" max="4" width="14.28515625" style="36" customWidth="1"/>
    <col min="5" max="5" width="12.7109375" style="36" customWidth="1"/>
    <col min="6" max="6" width="12" style="36" customWidth="1"/>
    <col min="7" max="7" width="15.140625" style="36" customWidth="1"/>
    <col min="8" max="16384" width="9.140625" style="36"/>
  </cols>
  <sheetData>
    <row r="1" spans="1:4" ht="23.25" x14ac:dyDescent="0.35">
      <c r="A1" s="200" t="s">
        <v>107</v>
      </c>
      <c r="B1" s="200"/>
      <c r="C1" s="200"/>
      <c r="D1" s="200"/>
    </row>
    <row r="2" spans="1:4" ht="23.25" x14ac:dyDescent="0.35">
      <c r="A2" s="200" t="s">
        <v>108</v>
      </c>
      <c r="B2" s="200"/>
      <c r="C2" s="200"/>
      <c r="D2" s="200"/>
    </row>
    <row r="3" spans="1:4" ht="27.75" customHeight="1" x14ac:dyDescent="0.25">
      <c r="A3" s="202" t="s">
        <v>109</v>
      </c>
      <c r="B3" s="202"/>
      <c r="C3" s="202"/>
      <c r="D3" s="202"/>
    </row>
    <row r="4" spans="1:4" ht="64.5" customHeight="1" x14ac:dyDescent="0.25">
      <c r="A4" s="57" t="s">
        <v>117</v>
      </c>
      <c r="B4" s="205" t="s">
        <v>424</v>
      </c>
      <c r="C4" s="205"/>
    </row>
    <row r="5" spans="1:4" x14ac:dyDescent="0.25">
      <c r="A5" s="57" t="s">
        <v>118</v>
      </c>
      <c r="B5" s="197" t="s">
        <v>146</v>
      </c>
      <c r="C5" s="197"/>
    </row>
    <row r="6" spans="1:4" ht="18.75" customHeight="1" x14ac:dyDescent="0.25">
      <c r="A6" s="57" t="s">
        <v>119</v>
      </c>
      <c r="B6" s="205" t="s">
        <v>356</v>
      </c>
      <c r="C6" s="197"/>
    </row>
    <row r="7" spans="1:4" x14ac:dyDescent="0.25">
      <c r="A7" s="201" t="s">
        <v>39</v>
      </c>
      <c r="B7" s="201"/>
      <c r="C7" s="201"/>
    </row>
    <row r="8" spans="1:4" ht="16.5" thickBot="1" x14ac:dyDescent="0.3"/>
    <row r="9" spans="1:4" ht="16.5" thickBot="1" x14ac:dyDescent="0.3">
      <c r="A9" s="28">
        <v>1</v>
      </c>
      <c r="B9" s="83" t="s">
        <v>40</v>
      </c>
      <c r="C9" s="83" t="s">
        <v>41</v>
      </c>
    </row>
    <row r="10" spans="1:4" ht="16.5" thickBot="1" x14ac:dyDescent="0.3">
      <c r="A10" s="30" t="s">
        <v>42</v>
      </c>
      <c r="B10" s="31" t="s">
        <v>423</v>
      </c>
      <c r="C10" s="44">
        <v>2951</v>
      </c>
    </row>
    <row r="11" spans="1:4" ht="16.5" thickBot="1" x14ac:dyDescent="0.3">
      <c r="A11" s="30" t="s">
        <v>44</v>
      </c>
      <c r="B11" s="31" t="s">
        <v>45</v>
      </c>
      <c r="C11" s="44"/>
    </row>
    <row r="12" spans="1:4" ht="16.5" thickBot="1" x14ac:dyDescent="0.3">
      <c r="A12" s="30" t="s">
        <v>46</v>
      </c>
      <c r="B12" s="31" t="s">
        <v>47</v>
      </c>
      <c r="C12" s="44"/>
    </row>
    <row r="13" spans="1:4" ht="16.5" thickBot="1" x14ac:dyDescent="0.3">
      <c r="A13" s="30" t="s">
        <v>48</v>
      </c>
      <c r="B13" s="31" t="s">
        <v>4</v>
      </c>
      <c r="C13" s="44"/>
    </row>
    <row r="14" spans="1:4" ht="16.5" thickBot="1" x14ac:dyDescent="0.3">
      <c r="A14" s="30" t="s">
        <v>49</v>
      </c>
      <c r="B14" s="31" t="s">
        <v>50</v>
      </c>
      <c r="C14" s="44"/>
    </row>
    <row r="15" spans="1:4" ht="16.5" thickBot="1" x14ac:dyDescent="0.3">
      <c r="A15" s="30" t="s">
        <v>51</v>
      </c>
      <c r="B15" s="31" t="s">
        <v>422</v>
      </c>
      <c r="C15" s="44"/>
    </row>
    <row r="16" spans="1:4" ht="16.5" thickBot="1" x14ac:dyDescent="0.3">
      <c r="A16" s="30" t="s">
        <v>52</v>
      </c>
      <c r="B16" s="31" t="s">
        <v>53</v>
      </c>
      <c r="C16" s="44"/>
    </row>
    <row r="17" spans="1:4" ht="16.5" thickBot="1" x14ac:dyDescent="0.3">
      <c r="A17" s="190" t="s">
        <v>5</v>
      </c>
      <c r="B17" s="191"/>
      <c r="C17" s="64">
        <f>SUM(C10:C16)</f>
        <v>2951</v>
      </c>
    </row>
    <row r="20" spans="1:4" x14ac:dyDescent="0.25">
      <c r="A20" s="192" t="s">
        <v>54</v>
      </c>
      <c r="B20" s="192"/>
      <c r="C20" s="192"/>
    </row>
    <row r="21" spans="1:4" x14ac:dyDescent="0.25">
      <c r="A21" s="27"/>
    </row>
    <row r="22" spans="1:4" x14ac:dyDescent="0.25">
      <c r="A22" s="193" t="s">
        <v>55</v>
      </c>
      <c r="B22" s="193"/>
      <c r="C22" s="193"/>
    </row>
    <row r="23" spans="1:4" ht="16.5" thickBot="1" x14ac:dyDescent="0.3"/>
    <row r="24" spans="1:4" ht="16.5" thickBot="1" x14ac:dyDescent="0.3">
      <c r="A24" s="28" t="s">
        <v>56</v>
      </c>
      <c r="B24" s="83" t="s">
        <v>57</v>
      </c>
      <c r="C24" s="83" t="s">
        <v>63</v>
      </c>
      <c r="D24" s="83" t="s">
        <v>41</v>
      </c>
    </row>
    <row r="25" spans="1:4" ht="16.5" thickBot="1" x14ac:dyDescent="0.3">
      <c r="A25" s="30" t="s">
        <v>42</v>
      </c>
      <c r="B25" s="60" t="s">
        <v>58</v>
      </c>
      <c r="C25" s="56">
        <f>1/12</f>
        <v>8.3333333333333329E-2</v>
      </c>
      <c r="D25" s="61">
        <f>C$17*C25</f>
        <v>245.91666666666666</v>
      </c>
    </row>
    <row r="26" spans="1:4" ht="16.5" thickBot="1" x14ac:dyDescent="0.3">
      <c r="A26" s="30" t="s">
        <v>44</v>
      </c>
      <c r="B26" s="58" t="s">
        <v>59</v>
      </c>
      <c r="C26" s="62">
        <v>0.1111</v>
      </c>
      <c r="D26" s="63">
        <f>C$17*C26</f>
        <v>327.85610000000003</v>
      </c>
    </row>
    <row r="27" spans="1:4" ht="16.5" thickBot="1" x14ac:dyDescent="0.3">
      <c r="A27" s="190" t="s">
        <v>5</v>
      </c>
      <c r="B27" s="191"/>
      <c r="C27" s="65">
        <f>SUM(C25:C26)</f>
        <v>0.19443333333333335</v>
      </c>
      <c r="D27" s="66">
        <f>C$17*C27</f>
        <v>573.77276666666671</v>
      </c>
    </row>
    <row r="30" spans="1:4" ht="32.25" customHeight="1" x14ac:dyDescent="0.25">
      <c r="A30" s="196" t="s">
        <v>60</v>
      </c>
      <c r="B30" s="196"/>
      <c r="C30" s="196"/>
      <c r="D30" s="196"/>
    </row>
    <row r="31" spans="1:4" ht="16.5" thickBot="1" x14ac:dyDescent="0.3"/>
    <row r="32" spans="1:4" ht="16.5" thickBot="1" x14ac:dyDescent="0.3">
      <c r="A32" s="28" t="s">
        <v>61</v>
      </c>
      <c r="B32" s="83" t="s">
        <v>62</v>
      </c>
      <c r="C32" s="83" t="s">
        <v>63</v>
      </c>
      <c r="D32" s="83" t="s">
        <v>41</v>
      </c>
    </row>
    <row r="33" spans="1:4" ht="16.5" thickBot="1" x14ac:dyDescent="0.3">
      <c r="A33" s="30" t="s">
        <v>42</v>
      </c>
      <c r="B33" s="31" t="s">
        <v>64</v>
      </c>
      <c r="C33" s="33">
        <v>0.2</v>
      </c>
      <c r="D33" s="63">
        <f t="shared" ref="D33:D41" si="0">(D$27+C$17)*C33</f>
        <v>704.95455333333348</v>
      </c>
    </row>
    <row r="34" spans="1:4" ht="16.5" thickBot="1" x14ac:dyDescent="0.3">
      <c r="A34" s="30" t="s">
        <v>44</v>
      </c>
      <c r="B34" s="31" t="s">
        <v>65</v>
      </c>
      <c r="C34" s="33">
        <v>2.5000000000000001E-2</v>
      </c>
      <c r="D34" s="63">
        <f t="shared" si="0"/>
        <v>88.119319166666685</v>
      </c>
    </row>
    <row r="35" spans="1:4" ht="16.5" thickBot="1" x14ac:dyDescent="0.3">
      <c r="A35" s="30" t="s">
        <v>46</v>
      </c>
      <c r="B35" s="31" t="s">
        <v>66</v>
      </c>
      <c r="C35" s="45">
        <v>0.01</v>
      </c>
      <c r="D35" s="63">
        <f t="shared" si="0"/>
        <v>35.24772766666667</v>
      </c>
    </row>
    <row r="36" spans="1:4" ht="16.5" thickBot="1" x14ac:dyDescent="0.3">
      <c r="A36" s="30" t="s">
        <v>48</v>
      </c>
      <c r="B36" s="31" t="s">
        <v>67</v>
      </c>
      <c r="C36" s="33">
        <v>1.4999999999999999E-2</v>
      </c>
      <c r="D36" s="63">
        <f t="shared" si="0"/>
        <v>52.871591500000001</v>
      </c>
    </row>
    <row r="37" spans="1:4" ht="16.5" thickBot="1" x14ac:dyDescent="0.3">
      <c r="A37" s="30" t="s">
        <v>49</v>
      </c>
      <c r="B37" s="31" t="s">
        <v>68</v>
      </c>
      <c r="C37" s="33">
        <v>0.01</v>
      </c>
      <c r="D37" s="63">
        <f t="shared" si="0"/>
        <v>35.24772766666667</v>
      </c>
    </row>
    <row r="38" spans="1:4" ht="16.5" thickBot="1" x14ac:dyDescent="0.3">
      <c r="A38" s="30" t="s">
        <v>51</v>
      </c>
      <c r="B38" s="31" t="s">
        <v>7</v>
      </c>
      <c r="C38" s="33">
        <v>6.0000000000000001E-3</v>
      </c>
      <c r="D38" s="63">
        <f t="shared" si="0"/>
        <v>21.148636600000003</v>
      </c>
    </row>
    <row r="39" spans="1:4" ht="16.5" thickBot="1" x14ac:dyDescent="0.3">
      <c r="A39" s="30" t="s">
        <v>52</v>
      </c>
      <c r="B39" s="31" t="s">
        <v>8</v>
      </c>
      <c r="C39" s="33">
        <v>2E-3</v>
      </c>
      <c r="D39" s="63">
        <f t="shared" si="0"/>
        <v>7.0495455333333341</v>
      </c>
    </row>
    <row r="40" spans="1:4" ht="16.5" thickBot="1" x14ac:dyDescent="0.3">
      <c r="A40" s="30" t="s">
        <v>69</v>
      </c>
      <c r="B40" s="31" t="s">
        <v>9</v>
      </c>
      <c r="C40" s="33">
        <v>0.08</v>
      </c>
      <c r="D40" s="63">
        <f t="shared" si="0"/>
        <v>281.98182133333336</v>
      </c>
    </row>
    <row r="41" spans="1:4" ht="16.5" thickBot="1" x14ac:dyDescent="0.3">
      <c r="A41" s="190" t="s">
        <v>70</v>
      </c>
      <c r="B41" s="191"/>
      <c r="C41" s="33">
        <f>SUM(C33:C40)</f>
        <v>0.34800000000000003</v>
      </c>
      <c r="D41" s="63">
        <f t="shared" si="0"/>
        <v>1226.6209228000002</v>
      </c>
    </row>
    <row r="44" spans="1:4" x14ac:dyDescent="0.25">
      <c r="A44" s="193" t="s">
        <v>71</v>
      </c>
      <c r="B44" s="193"/>
      <c r="C44" s="193"/>
    </row>
    <row r="45" spans="1:4" ht="16.5" thickBot="1" x14ac:dyDescent="0.3"/>
    <row r="46" spans="1:4" ht="16.5" thickBot="1" x14ac:dyDescent="0.3">
      <c r="A46" s="28" t="s">
        <v>72</v>
      </c>
      <c r="B46" s="83" t="s">
        <v>73</v>
      </c>
      <c r="C46" s="83" t="s">
        <v>41</v>
      </c>
    </row>
    <row r="47" spans="1:4" ht="16.5" thickBot="1" x14ac:dyDescent="0.3">
      <c r="A47" s="30" t="s">
        <v>42</v>
      </c>
      <c r="B47" s="31" t="s">
        <v>74</v>
      </c>
      <c r="C47" s="50">
        <f>'Planilhas de Apoio'!D18</f>
        <v>7.7400000000000091</v>
      </c>
    </row>
    <row r="48" spans="1:4" ht="16.5" thickBot="1" x14ac:dyDescent="0.3">
      <c r="A48" s="30" t="s">
        <v>44</v>
      </c>
      <c r="B48" s="31" t="s">
        <v>120</v>
      </c>
      <c r="C48" s="44">
        <f>'Planilhas de Apoio'!D23</f>
        <v>617.1</v>
      </c>
    </row>
    <row r="49" spans="1:3" ht="16.5" thickBot="1" x14ac:dyDescent="0.3">
      <c r="A49" s="30" t="s">
        <v>46</v>
      </c>
      <c r="B49" s="31" t="s">
        <v>131</v>
      </c>
      <c r="C49" s="44">
        <v>0</v>
      </c>
    </row>
    <row r="50" spans="1:3" ht="16.5" thickBot="1" x14ac:dyDescent="0.3">
      <c r="A50" s="73" t="s">
        <v>48</v>
      </c>
      <c r="B50" s="72" t="s">
        <v>121</v>
      </c>
      <c r="C50" s="44">
        <v>0</v>
      </c>
    </row>
    <row r="51" spans="1:3" ht="16.5" thickBot="1" x14ac:dyDescent="0.3">
      <c r="A51" s="73" t="s">
        <v>49</v>
      </c>
      <c r="B51" s="59" t="s">
        <v>122</v>
      </c>
      <c r="C51" s="44">
        <v>0</v>
      </c>
    </row>
    <row r="52" spans="1:3" ht="16.5" thickBot="1" x14ac:dyDescent="0.3">
      <c r="A52" s="203" t="s">
        <v>5</v>
      </c>
      <c r="B52" s="204"/>
      <c r="C52" s="44">
        <f>SUM(C47:C50)</f>
        <v>624.84</v>
      </c>
    </row>
    <row r="55" spans="1:3" x14ac:dyDescent="0.25">
      <c r="A55" s="193" t="s">
        <v>75</v>
      </c>
      <c r="B55" s="193"/>
      <c r="C55" s="193"/>
    </row>
    <row r="56" spans="1:3" ht="16.5" thickBot="1" x14ac:dyDescent="0.3"/>
    <row r="57" spans="1:3" ht="16.5" thickBot="1" x14ac:dyDescent="0.3">
      <c r="A57" s="28">
        <v>2</v>
      </c>
      <c r="B57" s="83" t="s">
        <v>76</v>
      </c>
      <c r="C57" s="83" t="s">
        <v>41</v>
      </c>
    </row>
    <row r="58" spans="1:3" ht="16.5" thickBot="1" x14ac:dyDescent="0.3">
      <c r="A58" s="30" t="s">
        <v>56</v>
      </c>
      <c r="B58" s="31" t="s">
        <v>57</v>
      </c>
      <c r="C58" s="44">
        <f>D27</f>
        <v>573.77276666666671</v>
      </c>
    </row>
    <row r="59" spans="1:3" ht="16.5" thickBot="1" x14ac:dyDescent="0.3">
      <c r="A59" s="30" t="s">
        <v>61</v>
      </c>
      <c r="B59" s="31" t="s">
        <v>62</v>
      </c>
      <c r="C59" s="44">
        <f>D41</f>
        <v>1226.6209228000002</v>
      </c>
    </row>
    <row r="60" spans="1:3" ht="16.5" thickBot="1" x14ac:dyDescent="0.3">
      <c r="A60" s="30" t="s">
        <v>72</v>
      </c>
      <c r="B60" s="31" t="s">
        <v>73</v>
      </c>
      <c r="C60" s="44">
        <f>C52</f>
        <v>624.84</v>
      </c>
    </row>
    <row r="61" spans="1:3" ht="16.5" thickBot="1" x14ac:dyDescent="0.3">
      <c r="A61" s="190" t="s">
        <v>5</v>
      </c>
      <c r="B61" s="191"/>
      <c r="C61" s="44">
        <f>SUM(C58:C60)</f>
        <v>2425.2336894666669</v>
      </c>
    </row>
    <row r="62" spans="1:3" x14ac:dyDescent="0.25">
      <c r="A62" s="6"/>
    </row>
    <row r="64" spans="1:3" x14ac:dyDescent="0.25">
      <c r="A64" s="192" t="s">
        <v>77</v>
      </c>
      <c r="B64" s="192"/>
      <c r="C64" s="192"/>
    </row>
    <row r="65" spans="1:4" ht="16.5" thickBot="1" x14ac:dyDescent="0.3"/>
    <row r="66" spans="1:4" ht="16.5" thickBot="1" x14ac:dyDescent="0.3">
      <c r="A66" s="28">
        <v>3</v>
      </c>
      <c r="B66" s="83" t="s">
        <v>78</v>
      </c>
      <c r="C66" s="83" t="s">
        <v>63</v>
      </c>
      <c r="D66" s="83" t="s">
        <v>41</v>
      </c>
    </row>
    <row r="67" spans="1:4" ht="16.5" thickBot="1" x14ac:dyDescent="0.3">
      <c r="A67" s="30" t="s">
        <v>42</v>
      </c>
      <c r="B67" s="34" t="s">
        <v>79</v>
      </c>
      <c r="C67" s="53">
        <v>4.1999999999999997E-3</v>
      </c>
      <c r="D67" s="44">
        <f>(C$17)*C67</f>
        <v>12.3942</v>
      </c>
    </row>
    <row r="68" spans="1:4" ht="16.5" thickBot="1" x14ac:dyDescent="0.3">
      <c r="A68" s="30" t="s">
        <v>44</v>
      </c>
      <c r="B68" s="51" t="s">
        <v>80</v>
      </c>
      <c r="C68" s="54">
        <f>C67*8%</f>
        <v>3.3599999999999998E-4</v>
      </c>
      <c r="D68" s="44">
        <f t="shared" ref="D68:D73" si="1">(C$17)*C68</f>
        <v>0.99153599999999997</v>
      </c>
    </row>
    <row r="69" spans="1:4" ht="16.5" thickBot="1" x14ac:dyDescent="0.3">
      <c r="A69" s="30" t="s">
        <v>46</v>
      </c>
      <c r="B69" s="34" t="s">
        <v>81</v>
      </c>
      <c r="C69" s="52">
        <v>4.3499999999999997E-2</v>
      </c>
      <c r="D69" s="44">
        <f t="shared" si="1"/>
        <v>128.36849999999998</v>
      </c>
    </row>
    <row r="70" spans="1:4" ht="16.5" thickBot="1" x14ac:dyDescent="0.3">
      <c r="A70" s="30" t="s">
        <v>48</v>
      </c>
      <c r="B70" s="34" t="s">
        <v>82</v>
      </c>
      <c r="C70" s="55">
        <v>1.9400000000000001E-2</v>
      </c>
      <c r="D70" s="44">
        <f t="shared" si="1"/>
        <v>57.249400000000001</v>
      </c>
    </row>
    <row r="71" spans="1:4" ht="16.5" thickBot="1" x14ac:dyDescent="0.3">
      <c r="A71" s="30" t="s">
        <v>49</v>
      </c>
      <c r="B71" s="34" t="s">
        <v>83</v>
      </c>
      <c r="C71" s="52">
        <v>7.0000000000000001E-3</v>
      </c>
      <c r="D71" s="44">
        <f t="shared" si="1"/>
        <v>20.657</v>
      </c>
    </row>
    <row r="72" spans="1:4" ht="16.5" thickBot="1" x14ac:dyDescent="0.3">
      <c r="A72" s="30" t="s">
        <v>51</v>
      </c>
      <c r="B72" s="34" t="s">
        <v>84</v>
      </c>
      <c r="C72" s="52">
        <v>8.0000000000000004E-4</v>
      </c>
      <c r="D72" s="44">
        <f t="shared" si="1"/>
        <v>2.3608000000000002</v>
      </c>
    </row>
    <row r="73" spans="1:4" ht="16.5" thickBot="1" x14ac:dyDescent="0.3">
      <c r="A73" s="190" t="s">
        <v>5</v>
      </c>
      <c r="B73" s="191"/>
      <c r="C73" s="52">
        <f>SUM(C67:C72)</f>
        <v>7.5235999999999997E-2</v>
      </c>
      <c r="D73" s="44">
        <f t="shared" si="1"/>
        <v>222.02143599999999</v>
      </c>
    </row>
    <row r="76" spans="1:4" x14ac:dyDescent="0.25">
      <c r="A76" s="192" t="s">
        <v>85</v>
      </c>
      <c r="B76" s="192"/>
      <c r="C76" s="192"/>
    </row>
    <row r="79" spans="1:4" x14ac:dyDescent="0.25">
      <c r="A79" s="193" t="s">
        <v>86</v>
      </c>
      <c r="B79" s="193"/>
      <c r="C79" s="193"/>
    </row>
    <row r="80" spans="1:4" ht="16.5" thickBot="1" x14ac:dyDescent="0.3">
      <c r="A80" s="27"/>
    </row>
    <row r="81" spans="1:4" ht="16.5" thickBot="1" x14ac:dyDescent="0.3">
      <c r="A81" s="28" t="s">
        <v>87</v>
      </c>
      <c r="B81" s="83" t="s">
        <v>88</v>
      </c>
      <c r="C81" s="83" t="s">
        <v>63</v>
      </c>
      <c r="D81" s="83" t="s">
        <v>41</v>
      </c>
    </row>
    <row r="82" spans="1:4" ht="16.5" thickBot="1" x14ac:dyDescent="0.3">
      <c r="A82" s="30" t="s">
        <v>42</v>
      </c>
      <c r="B82" s="31" t="s">
        <v>6</v>
      </c>
      <c r="C82" s="52">
        <v>8.3299999999999999E-2</v>
      </c>
      <c r="D82" s="44">
        <f>(C$17)*C82</f>
        <v>245.81829999999999</v>
      </c>
    </row>
    <row r="83" spans="1:4" ht="16.5" thickBot="1" x14ac:dyDescent="0.3">
      <c r="A83" s="30" t="s">
        <v>44</v>
      </c>
      <c r="B83" s="31" t="s">
        <v>88</v>
      </c>
      <c r="C83" s="52">
        <v>8.2000000000000007E-3</v>
      </c>
      <c r="D83" s="44">
        <f t="shared" ref="D83:D88" si="2">(C$17)*C83</f>
        <v>24.198200000000003</v>
      </c>
    </row>
    <row r="84" spans="1:4" ht="16.5" thickBot="1" x14ac:dyDescent="0.3">
      <c r="A84" s="30" t="s">
        <v>46</v>
      </c>
      <c r="B84" s="31" t="s">
        <v>89</v>
      </c>
      <c r="C84" s="52">
        <v>2.0000000000000001E-4</v>
      </c>
      <c r="D84" s="44">
        <f t="shared" si="2"/>
        <v>0.59020000000000006</v>
      </c>
    </row>
    <row r="85" spans="1:4" ht="16.5" thickBot="1" x14ac:dyDescent="0.3">
      <c r="A85" s="30" t="s">
        <v>48</v>
      </c>
      <c r="B85" s="31" t="s">
        <v>90</v>
      </c>
      <c r="C85" s="52">
        <v>2.9999999999999997E-4</v>
      </c>
      <c r="D85" s="44">
        <f t="shared" si="2"/>
        <v>0.88529999999999998</v>
      </c>
    </row>
    <row r="86" spans="1:4" ht="16.5" thickBot="1" x14ac:dyDescent="0.3">
      <c r="A86" s="30" t="s">
        <v>49</v>
      </c>
      <c r="B86" s="31" t="s">
        <v>91</v>
      </c>
      <c r="C86" s="52">
        <v>6.1000000000000004E-3</v>
      </c>
      <c r="D86" s="44">
        <f t="shared" si="2"/>
        <v>18.001100000000001</v>
      </c>
    </row>
    <row r="87" spans="1:4" ht="16.5" thickBot="1" x14ac:dyDescent="0.3">
      <c r="A87" s="30" t="s">
        <v>51</v>
      </c>
      <c r="B87" s="31" t="s">
        <v>53</v>
      </c>
      <c r="C87" s="52">
        <v>0</v>
      </c>
      <c r="D87" s="44">
        <f t="shared" si="2"/>
        <v>0</v>
      </c>
    </row>
    <row r="88" spans="1:4" ht="16.5" thickBot="1" x14ac:dyDescent="0.3">
      <c r="A88" s="190" t="s">
        <v>70</v>
      </c>
      <c r="B88" s="191"/>
      <c r="C88" s="52">
        <v>9.8100000000000007E-2</v>
      </c>
      <c r="D88" s="44">
        <f t="shared" si="2"/>
        <v>289.49310000000003</v>
      </c>
    </row>
    <row r="91" spans="1:4" x14ac:dyDescent="0.25">
      <c r="A91" s="193" t="s">
        <v>92</v>
      </c>
      <c r="B91" s="193"/>
      <c r="C91" s="193"/>
    </row>
    <row r="92" spans="1:4" ht="16.5" thickBot="1" x14ac:dyDescent="0.3">
      <c r="A92" s="27"/>
    </row>
    <row r="93" spans="1:4" ht="16.5" thickBot="1" x14ac:dyDescent="0.3">
      <c r="A93" s="28" t="s">
        <v>93</v>
      </c>
      <c r="B93" s="83" t="s">
        <v>94</v>
      </c>
      <c r="C93" s="83" t="s">
        <v>41</v>
      </c>
    </row>
    <row r="94" spans="1:4" ht="16.5" thickBot="1" x14ac:dyDescent="0.3">
      <c r="A94" s="30" t="s">
        <v>42</v>
      </c>
      <c r="B94" s="31" t="s">
        <v>110</v>
      </c>
      <c r="C94" s="43"/>
    </row>
    <row r="95" spans="1:4" ht="16.5" thickBot="1" x14ac:dyDescent="0.3">
      <c r="A95" s="190" t="s">
        <v>5</v>
      </c>
      <c r="B95" s="191"/>
      <c r="C95" s="43"/>
    </row>
    <row r="98" spans="1:3" x14ac:dyDescent="0.25">
      <c r="A98" s="193" t="s">
        <v>95</v>
      </c>
      <c r="B98" s="193"/>
      <c r="C98" s="193"/>
    </row>
    <row r="99" spans="1:3" ht="16.5" thickBot="1" x14ac:dyDescent="0.3">
      <c r="A99" s="27"/>
    </row>
    <row r="100" spans="1:3" ht="16.5" thickBot="1" x14ac:dyDescent="0.3">
      <c r="A100" s="28">
        <v>4</v>
      </c>
      <c r="B100" s="83" t="s">
        <v>96</v>
      </c>
      <c r="C100" s="83" t="s">
        <v>41</v>
      </c>
    </row>
    <row r="101" spans="1:3" ht="16.5" thickBot="1" x14ac:dyDescent="0.3">
      <c r="A101" s="30" t="s">
        <v>87</v>
      </c>
      <c r="B101" s="31" t="s">
        <v>88</v>
      </c>
      <c r="C101" s="44">
        <f>D88</f>
        <v>289.49310000000003</v>
      </c>
    </row>
    <row r="102" spans="1:3" ht="16.5" thickBot="1" x14ac:dyDescent="0.3">
      <c r="A102" s="30" t="s">
        <v>93</v>
      </c>
      <c r="B102" s="31" t="s">
        <v>94</v>
      </c>
      <c r="C102" s="44">
        <f>C95</f>
        <v>0</v>
      </c>
    </row>
    <row r="103" spans="1:3" ht="16.5" thickBot="1" x14ac:dyDescent="0.3">
      <c r="A103" s="190" t="s">
        <v>5</v>
      </c>
      <c r="B103" s="191"/>
      <c r="C103" s="64">
        <f>C101+C102</f>
        <v>289.49310000000003</v>
      </c>
    </row>
    <row r="106" spans="1:3" x14ac:dyDescent="0.25">
      <c r="A106" s="192" t="s">
        <v>97</v>
      </c>
      <c r="B106" s="192"/>
      <c r="C106" s="192"/>
    </row>
    <row r="107" spans="1:3" ht="16.5" thickBot="1" x14ac:dyDescent="0.3"/>
    <row r="108" spans="1:3" ht="16.5" thickBot="1" x14ac:dyDescent="0.3">
      <c r="A108" s="28">
        <v>5</v>
      </c>
      <c r="B108" s="35" t="s">
        <v>24</v>
      </c>
      <c r="C108" s="83" t="s">
        <v>41</v>
      </c>
    </row>
    <row r="109" spans="1:3" ht="16.5" thickBot="1" x14ac:dyDescent="0.3">
      <c r="A109" s="30" t="s">
        <v>42</v>
      </c>
      <c r="B109" s="31" t="s">
        <v>98</v>
      </c>
      <c r="C109" s="44">
        <f>'Planilhas de Apoio'!C39</f>
        <v>86.948888888888902</v>
      </c>
    </row>
    <row r="110" spans="1:3" ht="16.5" thickBot="1" x14ac:dyDescent="0.3">
      <c r="A110" s="30" t="s">
        <v>44</v>
      </c>
      <c r="B110" s="31" t="s">
        <v>99</v>
      </c>
      <c r="C110" s="44">
        <v>0</v>
      </c>
    </row>
    <row r="111" spans="1:3" ht="16.5" thickBot="1" x14ac:dyDescent="0.3">
      <c r="A111" s="30" t="s">
        <v>46</v>
      </c>
      <c r="B111" s="31" t="s">
        <v>100</v>
      </c>
      <c r="C111" s="44">
        <v>0</v>
      </c>
    </row>
    <row r="112" spans="1:3" ht="16.5" thickBot="1" x14ac:dyDescent="0.3">
      <c r="A112" s="30" t="s">
        <v>48</v>
      </c>
      <c r="B112" s="31" t="s">
        <v>53</v>
      </c>
      <c r="C112" s="44">
        <v>0</v>
      </c>
    </row>
    <row r="113" spans="1:4" ht="16.5" thickBot="1" x14ac:dyDescent="0.3">
      <c r="A113" s="190" t="s">
        <v>70</v>
      </c>
      <c r="B113" s="191"/>
      <c r="C113" s="44">
        <f>SUM(C109:C112)</f>
        <v>86.948888888888902</v>
      </c>
    </row>
    <row r="116" spans="1:4" x14ac:dyDescent="0.25">
      <c r="A116" s="192" t="s">
        <v>101</v>
      </c>
      <c r="B116" s="192"/>
      <c r="C116" s="192"/>
    </row>
    <row r="117" spans="1:4" ht="16.5" thickBot="1" x14ac:dyDescent="0.3"/>
    <row r="118" spans="1:4" ht="16.5" thickBot="1" x14ac:dyDescent="0.3">
      <c r="A118" s="28">
        <v>6</v>
      </c>
      <c r="B118" s="35" t="s">
        <v>25</v>
      </c>
      <c r="C118" s="83" t="s">
        <v>63</v>
      </c>
      <c r="D118" s="83" t="s">
        <v>41</v>
      </c>
    </row>
    <row r="119" spans="1:4" ht="16.5" thickBot="1" x14ac:dyDescent="0.3">
      <c r="A119" s="30" t="s">
        <v>42</v>
      </c>
      <c r="B119" s="68" t="s">
        <v>26</v>
      </c>
      <c r="C119" s="188">
        <v>9.0999999999999998E-2</v>
      </c>
      <c r="D119" s="70">
        <f>C119*C138</f>
        <v>543.69743740635556</v>
      </c>
    </row>
    <row r="120" spans="1:4" ht="16.5" thickBot="1" x14ac:dyDescent="0.3">
      <c r="A120" s="30" t="s">
        <v>44</v>
      </c>
      <c r="B120" s="68" t="s">
        <v>28</v>
      </c>
      <c r="C120" s="188">
        <v>5.8999999999999997E-2</v>
      </c>
      <c r="D120" s="70">
        <f>C120*(C138+D119)</f>
        <v>384.58527855395272</v>
      </c>
    </row>
    <row r="121" spans="1:4" ht="16.5" thickBot="1" x14ac:dyDescent="0.3">
      <c r="A121" s="30" t="s">
        <v>46</v>
      </c>
      <c r="B121" s="31" t="s">
        <v>27</v>
      </c>
      <c r="C121" s="33"/>
      <c r="D121" s="44">
        <f>(C$17+C$61+D$73+C$103+C$113)*C121</f>
        <v>0</v>
      </c>
    </row>
    <row r="122" spans="1:4" ht="16.5" thickBot="1" x14ac:dyDescent="0.3">
      <c r="A122" s="30"/>
      <c r="B122" s="68" t="s">
        <v>114</v>
      </c>
      <c r="C122" s="69">
        <f>C123+C124</f>
        <v>9.2499999999999999E-2</v>
      </c>
      <c r="D122" s="70">
        <f>C122*(C$138+D$119+D$120)</f>
        <v>638.52563430421742</v>
      </c>
    </row>
    <row r="123" spans="1:4" ht="16.5" thickBot="1" x14ac:dyDescent="0.3">
      <c r="A123" s="30"/>
      <c r="B123" s="31" t="s">
        <v>112</v>
      </c>
      <c r="C123" s="33">
        <v>7.5999999999999998E-2</v>
      </c>
      <c r="D123" s="44">
        <f>C123*(C$138+D$119+D$120)</f>
        <v>524.62646710400566</v>
      </c>
    </row>
    <row r="124" spans="1:4" ht="16.5" thickBot="1" x14ac:dyDescent="0.3">
      <c r="A124" s="30"/>
      <c r="B124" s="31" t="s">
        <v>113</v>
      </c>
      <c r="C124" s="33">
        <v>1.6500000000000001E-2</v>
      </c>
      <c r="D124" s="44">
        <f>C124*(C$138+D$119+D$120)</f>
        <v>113.89916720021176</v>
      </c>
    </row>
    <row r="125" spans="1:4" ht="16.5" thickBot="1" x14ac:dyDescent="0.3">
      <c r="A125" s="30"/>
      <c r="B125" s="68" t="s">
        <v>115</v>
      </c>
      <c r="C125" s="69">
        <v>0</v>
      </c>
      <c r="D125" s="70">
        <f>C125*(C$138+D$119+D$120)</f>
        <v>0</v>
      </c>
    </row>
    <row r="126" spans="1:4" ht="16.5" thickBot="1" x14ac:dyDescent="0.3">
      <c r="A126" s="30"/>
      <c r="B126" s="68" t="s">
        <v>116</v>
      </c>
      <c r="C126" s="69">
        <v>0.05</v>
      </c>
      <c r="D126" s="70">
        <f>C126*(C$138+D$119+D$120)</f>
        <v>345.14899151579323</v>
      </c>
    </row>
    <row r="127" spans="1:4" ht="16.5" thickBot="1" x14ac:dyDescent="0.3">
      <c r="A127" s="194" t="s">
        <v>70</v>
      </c>
      <c r="B127" s="195"/>
      <c r="C127" s="69">
        <f>C119+C120+C122+C125+C126</f>
        <v>0.29249999999999998</v>
      </c>
      <c r="D127" s="70">
        <f>D119+D120+D122+D125+D126</f>
        <v>1911.957341780319</v>
      </c>
    </row>
    <row r="130" spans="1:3" x14ac:dyDescent="0.25">
      <c r="A130" s="192" t="s">
        <v>102</v>
      </c>
      <c r="B130" s="192"/>
      <c r="C130" s="192"/>
    </row>
    <row r="131" spans="1:3" ht="16.5" thickBot="1" x14ac:dyDescent="0.3"/>
    <row r="132" spans="1:3" ht="16.5" thickBot="1" x14ac:dyDescent="0.3">
      <c r="A132" s="28"/>
      <c r="B132" s="83" t="s">
        <v>103</v>
      </c>
      <c r="C132" s="83" t="s">
        <v>41</v>
      </c>
    </row>
    <row r="133" spans="1:3" ht="16.5" thickBot="1" x14ac:dyDescent="0.3">
      <c r="A133" s="37" t="s">
        <v>42</v>
      </c>
      <c r="B133" s="31" t="s">
        <v>39</v>
      </c>
      <c r="C133" s="67">
        <f>C17</f>
        <v>2951</v>
      </c>
    </row>
    <row r="134" spans="1:3" ht="16.5" thickBot="1" x14ac:dyDescent="0.3">
      <c r="A134" s="37" t="s">
        <v>44</v>
      </c>
      <c r="B134" s="31" t="s">
        <v>54</v>
      </c>
      <c r="C134" s="67">
        <f>C61</f>
        <v>2425.2336894666669</v>
      </c>
    </row>
    <row r="135" spans="1:3" ht="16.5" thickBot="1" x14ac:dyDescent="0.3">
      <c r="A135" s="37" t="s">
        <v>46</v>
      </c>
      <c r="B135" s="31" t="s">
        <v>77</v>
      </c>
      <c r="C135" s="67">
        <f>D73</f>
        <v>222.02143599999999</v>
      </c>
    </row>
    <row r="136" spans="1:3" ht="16.5" thickBot="1" x14ac:dyDescent="0.3">
      <c r="A136" s="37" t="s">
        <v>48</v>
      </c>
      <c r="B136" s="31" t="s">
        <v>85</v>
      </c>
      <c r="C136" s="67">
        <f>D88</f>
        <v>289.49310000000003</v>
      </c>
    </row>
    <row r="137" spans="1:3" ht="16.5" thickBot="1" x14ac:dyDescent="0.3">
      <c r="A137" s="37" t="s">
        <v>49</v>
      </c>
      <c r="B137" s="31" t="s">
        <v>97</v>
      </c>
      <c r="C137" s="67">
        <f>C113</f>
        <v>86.948888888888902</v>
      </c>
    </row>
    <row r="138" spans="1:3" ht="16.5" customHeight="1" thickBot="1" x14ac:dyDescent="0.3">
      <c r="A138" s="190" t="s">
        <v>104</v>
      </c>
      <c r="B138" s="191"/>
      <c r="C138" s="67">
        <f>SUM(C133:C137)</f>
        <v>5974.6971143555556</v>
      </c>
    </row>
    <row r="139" spans="1:3" ht="16.5" thickBot="1" x14ac:dyDescent="0.3">
      <c r="A139" s="37" t="s">
        <v>51</v>
      </c>
      <c r="B139" s="31" t="s">
        <v>105</v>
      </c>
      <c r="C139" s="67">
        <f>D127</f>
        <v>1911.957341780319</v>
      </c>
    </row>
    <row r="140" spans="1:3" ht="16.5" customHeight="1" thickBot="1" x14ac:dyDescent="0.3">
      <c r="A140" s="190" t="s">
        <v>106</v>
      </c>
      <c r="B140" s="191"/>
      <c r="C140" s="71">
        <f>C138+C139</f>
        <v>7886.6544561358751</v>
      </c>
    </row>
  </sheetData>
  <mergeCells count="33">
    <mergeCell ref="A30:D30"/>
    <mergeCell ref="A1:D1"/>
    <mergeCell ref="A2:D2"/>
    <mergeCell ref="A3:D3"/>
    <mergeCell ref="B4:C4"/>
    <mergeCell ref="B5:C5"/>
    <mergeCell ref="B6:C6"/>
    <mergeCell ref="A7:C7"/>
    <mergeCell ref="A17:B17"/>
    <mergeCell ref="A20:C20"/>
    <mergeCell ref="A22:C22"/>
    <mergeCell ref="A27:B27"/>
    <mergeCell ref="A95:B95"/>
    <mergeCell ref="A41:B41"/>
    <mergeCell ref="A44:C44"/>
    <mergeCell ref="A52:B52"/>
    <mergeCell ref="A55:C55"/>
    <mergeCell ref="A61:B61"/>
    <mergeCell ref="A64:C64"/>
    <mergeCell ref="A73:B73"/>
    <mergeCell ref="A76:C76"/>
    <mergeCell ref="A79:C79"/>
    <mergeCell ref="A88:B88"/>
    <mergeCell ref="A91:C91"/>
    <mergeCell ref="A130:C130"/>
    <mergeCell ref="A138:B138"/>
    <mergeCell ref="A140:B140"/>
    <mergeCell ref="A98:C98"/>
    <mergeCell ref="A103:B103"/>
    <mergeCell ref="A106:C106"/>
    <mergeCell ref="A113:B113"/>
    <mergeCell ref="A116:C116"/>
    <mergeCell ref="A127:B1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showGridLines="0" topLeftCell="A109" zoomScaleNormal="100" workbookViewId="0">
      <selection activeCell="E119" sqref="E119"/>
    </sheetView>
  </sheetViews>
  <sheetFormatPr defaultRowHeight="15.75" x14ac:dyDescent="0.25"/>
  <cols>
    <col min="1" max="1" width="16.28515625" style="36" customWidth="1"/>
    <col min="2" max="2" width="72.140625" style="36" customWidth="1"/>
    <col min="3" max="3" width="18" style="36" customWidth="1"/>
    <col min="4" max="4" width="14.28515625" style="36" customWidth="1"/>
    <col min="5" max="5" width="12.7109375" style="36" customWidth="1"/>
    <col min="6" max="6" width="12" style="36" customWidth="1"/>
    <col min="7" max="7" width="15.140625" style="36" customWidth="1"/>
    <col min="8" max="16384" width="9.140625" style="36"/>
  </cols>
  <sheetData>
    <row r="1" spans="1:4" ht="23.25" x14ac:dyDescent="0.35">
      <c r="A1" s="200" t="s">
        <v>107</v>
      </c>
      <c r="B1" s="200"/>
      <c r="C1" s="200"/>
      <c r="D1" s="200"/>
    </row>
    <row r="2" spans="1:4" ht="23.25" x14ac:dyDescent="0.35">
      <c r="A2" s="200" t="s">
        <v>108</v>
      </c>
      <c r="B2" s="200"/>
      <c r="C2" s="200"/>
      <c r="D2" s="200"/>
    </row>
    <row r="3" spans="1:4" ht="27.75" customHeight="1" x14ac:dyDescent="0.25">
      <c r="A3" s="202" t="s">
        <v>109</v>
      </c>
      <c r="B3" s="202"/>
      <c r="C3" s="202"/>
      <c r="D3" s="202"/>
    </row>
    <row r="4" spans="1:4" ht="63.75" customHeight="1" x14ac:dyDescent="0.25">
      <c r="A4" s="57" t="s">
        <v>117</v>
      </c>
      <c r="B4" s="205" t="s">
        <v>424</v>
      </c>
      <c r="C4" s="205"/>
    </row>
    <row r="5" spans="1:4" x14ac:dyDescent="0.25">
      <c r="A5" s="57" t="s">
        <v>118</v>
      </c>
      <c r="B5" s="197" t="s">
        <v>354</v>
      </c>
      <c r="C5" s="197"/>
    </row>
    <row r="6" spans="1:4" x14ac:dyDescent="0.25">
      <c r="A6" s="57" t="s">
        <v>119</v>
      </c>
      <c r="B6" s="197" t="s">
        <v>355</v>
      </c>
      <c r="C6" s="197"/>
    </row>
    <row r="7" spans="1:4" x14ac:dyDescent="0.25">
      <c r="A7" s="201" t="s">
        <v>39</v>
      </c>
      <c r="B7" s="201"/>
      <c r="C7" s="201"/>
    </row>
    <row r="8" spans="1:4" ht="16.5" thickBot="1" x14ac:dyDescent="0.3"/>
    <row r="9" spans="1:4" ht="16.5" thickBot="1" x14ac:dyDescent="0.3">
      <c r="A9" s="28">
        <v>1</v>
      </c>
      <c r="B9" s="83" t="s">
        <v>40</v>
      </c>
      <c r="C9" s="83" t="s">
        <v>41</v>
      </c>
    </row>
    <row r="10" spans="1:4" ht="16.5" thickBot="1" x14ac:dyDescent="0.3">
      <c r="A10" s="30" t="s">
        <v>42</v>
      </c>
      <c r="B10" s="31" t="s">
        <v>43</v>
      </c>
      <c r="C10" s="44">
        <v>2951</v>
      </c>
    </row>
    <row r="11" spans="1:4" ht="16.5" thickBot="1" x14ac:dyDescent="0.3">
      <c r="A11" s="30" t="s">
        <v>44</v>
      </c>
      <c r="B11" s="31" t="s">
        <v>45</v>
      </c>
      <c r="C11" s="44"/>
    </row>
    <row r="12" spans="1:4" ht="16.5" thickBot="1" x14ac:dyDescent="0.3">
      <c r="A12" s="30" t="s">
        <v>46</v>
      </c>
      <c r="B12" s="31" t="s">
        <v>47</v>
      </c>
      <c r="C12" s="44"/>
    </row>
    <row r="13" spans="1:4" ht="16.5" thickBot="1" x14ac:dyDescent="0.3">
      <c r="A13" s="30" t="s">
        <v>48</v>
      </c>
      <c r="B13" s="31" t="s">
        <v>4</v>
      </c>
      <c r="C13" s="44"/>
    </row>
    <row r="14" spans="1:4" ht="16.5" thickBot="1" x14ac:dyDescent="0.3">
      <c r="A14" s="30" t="s">
        <v>49</v>
      </c>
      <c r="B14" s="31" t="s">
        <v>50</v>
      </c>
      <c r="C14" s="44"/>
    </row>
    <row r="15" spans="1:4" ht="16.5" thickBot="1" x14ac:dyDescent="0.3">
      <c r="A15" s="30" t="s">
        <v>51</v>
      </c>
      <c r="B15" s="31" t="s">
        <v>426</v>
      </c>
      <c r="C15" s="44">
        <f>C10*0.67</f>
        <v>1977.17</v>
      </c>
    </row>
    <row r="16" spans="1:4" ht="16.5" thickBot="1" x14ac:dyDescent="0.3">
      <c r="A16" s="30" t="s">
        <v>52</v>
      </c>
      <c r="B16" s="31" t="s">
        <v>53</v>
      </c>
      <c r="C16" s="44"/>
    </row>
    <row r="17" spans="1:4" ht="16.5" thickBot="1" x14ac:dyDescent="0.3">
      <c r="A17" s="190" t="s">
        <v>5</v>
      </c>
      <c r="B17" s="191"/>
      <c r="C17" s="64">
        <f>SUM(C10:C16)</f>
        <v>4928.17</v>
      </c>
    </row>
    <row r="20" spans="1:4" x14ac:dyDescent="0.25">
      <c r="A20" s="192" t="s">
        <v>54</v>
      </c>
      <c r="B20" s="192"/>
      <c r="C20" s="192"/>
    </row>
    <row r="21" spans="1:4" x14ac:dyDescent="0.25">
      <c r="A21" s="27"/>
    </row>
    <row r="22" spans="1:4" x14ac:dyDescent="0.25">
      <c r="A22" s="193" t="s">
        <v>55</v>
      </c>
      <c r="B22" s="193"/>
      <c r="C22" s="193"/>
    </row>
    <row r="23" spans="1:4" ht="16.5" thickBot="1" x14ac:dyDescent="0.3"/>
    <row r="24" spans="1:4" ht="16.5" thickBot="1" x14ac:dyDescent="0.3">
      <c r="A24" s="28" t="s">
        <v>56</v>
      </c>
      <c r="B24" s="83" t="s">
        <v>57</v>
      </c>
      <c r="C24" s="83" t="s">
        <v>63</v>
      </c>
      <c r="D24" s="83" t="s">
        <v>41</v>
      </c>
    </row>
    <row r="25" spans="1:4" ht="16.5" thickBot="1" x14ac:dyDescent="0.3">
      <c r="A25" s="30" t="s">
        <v>42</v>
      </c>
      <c r="B25" s="60" t="s">
        <v>58</v>
      </c>
      <c r="C25" s="56">
        <f>1/12</f>
        <v>8.3333333333333329E-2</v>
      </c>
      <c r="D25" s="61">
        <f>C$17*C25</f>
        <v>410.68083333333334</v>
      </c>
    </row>
    <row r="26" spans="1:4" ht="16.5" thickBot="1" x14ac:dyDescent="0.3">
      <c r="A26" s="30" t="s">
        <v>44</v>
      </c>
      <c r="B26" s="58" t="s">
        <v>59</v>
      </c>
      <c r="C26" s="62">
        <v>0.1111</v>
      </c>
      <c r="D26" s="63">
        <f>C$17*C26</f>
        <v>547.51968699999998</v>
      </c>
    </row>
    <row r="27" spans="1:4" ht="16.5" thickBot="1" x14ac:dyDescent="0.3">
      <c r="A27" s="190" t="s">
        <v>5</v>
      </c>
      <c r="B27" s="191"/>
      <c r="C27" s="65">
        <f>SUM(C25:C26)</f>
        <v>0.19443333333333335</v>
      </c>
      <c r="D27" s="66">
        <f>C$17*C27</f>
        <v>958.20052033333343</v>
      </c>
    </row>
    <row r="30" spans="1:4" ht="32.25" customHeight="1" x14ac:dyDescent="0.25">
      <c r="A30" s="196" t="s">
        <v>60</v>
      </c>
      <c r="B30" s="196"/>
      <c r="C30" s="196"/>
      <c r="D30" s="196"/>
    </row>
    <row r="31" spans="1:4" ht="16.5" thickBot="1" x14ac:dyDescent="0.3"/>
    <row r="32" spans="1:4" ht="16.5" thickBot="1" x14ac:dyDescent="0.3">
      <c r="A32" s="28" t="s">
        <v>61</v>
      </c>
      <c r="B32" s="83" t="s">
        <v>62</v>
      </c>
      <c r="C32" s="83" t="s">
        <v>63</v>
      </c>
      <c r="D32" s="83" t="s">
        <v>41</v>
      </c>
    </row>
    <row r="33" spans="1:4" ht="16.5" thickBot="1" x14ac:dyDescent="0.3">
      <c r="A33" s="30" t="s">
        <v>42</v>
      </c>
      <c r="B33" s="31" t="s">
        <v>64</v>
      </c>
      <c r="C33" s="33">
        <v>0.2</v>
      </c>
      <c r="D33" s="63">
        <f t="shared" ref="D33:D41" si="0">(D$27+C$17)*C33</f>
        <v>1177.2741040666667</v>
      </c>
    </row>
    <row r="34" spans="1:4" ht="16.5" thickBot="1" x14ac:dyDescent="0.3">
      <c r="A34" s="30" t="s">
        <v>44</v>
      </c>
      <c r="B34" s="31" t="s">
        <v>65</v>
      </c>
      <c r="C34" s="33">
        <v>2.5000000000000001E-2</v>
      </c>
      <c r="D34" s="63">
        <f t="shared" si="0"/>
        <v>147.15926300833334</v>
      </c>
    </row>
    <row r="35" spans="1:4" ht="16.5" thickBot="1" x14ac:dyDescent="0.3">
      <c r="A35" s="30" t="s">
        <v>46</v>
      </c>
      <c r="B35" s="31" t="s">
        <v>66</v>
      </c>
      <c r="C35" s="45">
        <v>0.01</v>
      </c>
      <c r="D35" s="63">
        <f t="shared" si="0"/>
        <v>58.863705203333339</v>
      </c>
    </row>
    <row r="36" spans="1:4" ht="16.5" thickBot="1" x14ac:dyDescent="0.3">
      <c r="A36" s="30" t="s">
        <v>48</v>
      </c>
      <c r="B36" s="31" t="s">
        <v>67</v>
      </c>
      <c r="C36" s="33">
        <v>1.4999999999999999E-2</v>
      </c>
      <c r="D36" s="63">
        <f t="shared" si="0"/>
        <v>88.295557805000001</v>
      </c>
    </row>
    <row r="37" spans="1:4" ht="16.5" thickBot="1" x14ac:dyDescent="0.3">
      <c r="A37" s="30" t="s">
        <v>49</v>
      </c>
      <c r="B37" s="31" t="s">
        <v>68</v>
      </c>
      <c r="C37" s="33">
        <v>0.01</v>
      </c>
      <c r="D37" s="63">
        <f t="shared" si="0"/>
        <v>58.863705203333339</v>
      </c>
    </row>
    <row r="38" spans="1:4" ht="16.5" thickBot="1" x14ac:dyDescent="0.3">
      <c r="A38" s="30" t="s">
        <v>51</v>
      </c>
      <c r="B38" s="31" t="s">
        <v>7</v>
      </c>
      <c r="C38" s="33">
        <v>6.0000000000000001E-3</v>
      </c>
      <c r="D38" s="63">
        <f t="shared" si="0"/>
        <v>35.318223122000006</v>
      </c>
    </row>
    <row r="39" spans="1:4" ht="16.5" thickBot="1" x14ac:dyDescent="0.3">
      <c r="A39" s="30" t="s">
        <v>52</v>
      </c>
      <c r="B39" s="31" t="s">
        <v>8</v>
      </c>
      <c r="C39" s="33">
        <v>2E-3</v>
      </c>
      <c r="D39" s="63">
        <f t="shared" si="0"/>
        <v>11.772741040666668</v>
      </c>
    </row>
    <row r="40" spans="1:4" ht="16.5" thickBot="1" x14ac:dyDescent="0.3">
      <c r="A40" s="30" t="s">
        <v>69</v>
      </c>
      <c r="B40" s="31" t="s">
        <v>9</v>
      </c>
      <c r="C40" s="33">
        <v>0.08</v>
      </c>
      <c r="D40" s="63">
        <f t="shared" si="0"/>
        <v>470.90964162666671</v>
      </c>
    </row>
    <row r="41" spans="1:4" ht="16.5" thickBot="1" x14ac:dyDescent="0.3">
      <c r="A41" s="190" t="s">
        <v>70</v>
      </c>
      <c r="B41" s="191"/>
      <c r="C41" s="33">
        <f>SUM(C33:C40)</f>
        <v>0.34800000000000003</v>
      </c>
      <c r="D41" s="63">
        <f t="shared" si="0"/>
        <v>2048.4569410760005</v>
      </c>
    </row>
    <row r="44" spans="1:4" x14ac:dyDescent="0.25">
      <c r="A44" s="193" t="s">
        <v>71</v>
      </c>
      <c r="B44" s="193"/>
      <c r="C44" s="193"/>
    </row>
    <row r="45" spans="1:4" ht="16.5" thickBot="1" x14ac:dyDescent="0.3"/>
    <row r="46" spans="1:4" ht="16.5" thickBot="1" x14ac:dyDescent="0.3">
      <c r="A46" s="28" t="s">
        <v>72</v>
      </c>
      <c r="B46" s="83" t="s">
        <v>73</v>
      </c>
      <c r="C46" s="83" t="s">
        <v>41</v>
      </c>
    </row>
    <row r="47" spans="1:4" ht="16.5" thickBot="1" x14ac:dyDescent="0.3">
      <c r="A47" s="30" t="s">
        <v>42</v>
      </c>
      <c r="B47" s="31" t="s">
        <v>74</v>
      </c>
      <c r="C47" s="50">
        <f>'Planilhas de Apoio'!D18</f>
        <v>7.7400000000000091</v>
      </c>
    </row>
    <row r="48" spans="1:4" ht="16.5" thickBot="1" x14ac:dyDescent="0.3">
      <c r="A48" s="30" t="s">
        <v>44</v>
      </c>
      <c r="B48" s="31" t="s">
        <v>120</v>
      </c>
      <c r="C48" s="44">
        <f>'Supervisor de Op.'!C48</f>
        <v>617.1</v>
      </c>
    </row>
    <row r="49" spans="1:3" ht="16.5" thickBot="1" x14ac:dyDescent="0.3">
      <c r="A49" s="30" t="s">
        <v>46</v>
      </c>
      <c r="B49" s="31" t="s">
        <v>131</v>
      </c>
      <c r="C49" s="44">
        <v>0</v>
      </c>
    </row>
    <row r="50" spans="1:3" ht="16.5" thickBot="1" x14ac:dyDescent="0.3">
      <c r="A50" s="73" t="s">
        <v>48</v>
      </c>
      <c r="B50" s="72" t="s">
        <v>121</v>
      </c>
      <c r="C50" s="44">
        <v>0</v>
      </c>
    </row>
    <row r="51" spans="1:3" ht="16.5" thickBot="1" x14ac:dyDescent="0.3">
      <c r="A51" s="73" t="s">
        <v>49</v>
      </c>
      <c r="B51" s="59" t="s">
        <v>122</v>
      </c>
      <c r="C51" s="44">
        <v>0</v>
      </c>
    </row>
    <row r="52" spans="1:3" ht="16.5" thickBot="1" x14ac:dyDescent="0.3">
      <c r="A52" s="203" t="s">
        <v>5</v>
      </c>
      <c r="B52" s="204"/>
      <c r="C52" s="44">
        <f>SUM(C47:C50)</f>
        <v>624.84</v>
      </c>
    </row>
    <row r="55" spans="1:3" x14ac:dyDescent="0.25">
      <c r="A55" s="193" t="s">
        <v>75</v>
      </c>
      <c r="B55" s="193"/>
      <c r="C55" s="193"/>
    </row>
    <row r="56" spans="1:3" ht="16.5" thickBot="1" x14ac:dyDescent="0.3"/>
    <row r="57" spans="1:3" ht="16.5" thickBot="1" x14ac:dyDescent="0.3">
      <c r="A57" s="28">
        <v>2</v>
      </c>
      <c r="B57" s="83" t="s">
        <v>76</v>
      </c>
      <c r="C57" s="83" t="s">
        <v>41</v>
      </c>
    </row>
    <row r="58" spans="1:3" ht="16.5" thickBot="1" x14ac:dyDescent="0.3">
      <c r="A58" s="30" t="s">
        <v>56</v>
      </c>
      <c r="B58" s="31" t="s">
        <v>57</v>
      </c>
      <c r="C58" s="44">
        <f>D27</f>
        <v>958.20052033333343</v>
      </c>
    </row>
    <row r="59" spans="1:3" ht="16.5" thickBot="1" x14ac:dyDescent="0.3">
      <c r="A59" s="30" t="s">
        <v>61</v>
      </c>
      <c r="B59" s="31" t="s">
        <v>62</v>
      </c>
      <c r="C59" s="44">
        <f>D41</f>
        <v>2048.4569410760005</v>
      </c>
    </row>
    <row r="60" spans="1:3" ht="16.5" thickBot="1" x14ac:dyDescent="0.3">
      <c r="A60" s="30" t="s">
        <v>72</v>
      </c>
      <c r="B60" s="31" t="s">
        <v>73</v>
      </c>
      <c r="C60" s="44">
        <f>C52</f>
        <v>624.84</v>
      </c>
    </row>
    <row r="61" spans="1:3" ht="16.5" thickBot="1" x14ac:dyDescent="0.3">
      <c r="A61" s="190" t="s">
        <v>5</v>
      </c>
      <c r="B61" s="191"/>
      <c r="C61" s="44">
        <f>SUM(C58:C60)</f>
        <v>3631.4974614093339</v>
      </c>
    </row>
    <row r="62" spans="1:3" x14ac:dyDescent="0.25">
      <c r="A62" s="6"/>
    </row>
    <row r="64" spans="1:3" x14ac:dyDescent="0.25">
      <c r="A64" s="192" t="s">
        <v>77</v>
      </c>
      <c r="B64" s="192"/>
      <c r="C64" s="192"/>
    </row>
    <row r="65" spans="1:4" ht="16.5" thickBot="1" x14ac:dyDescent="0.3"/>
    <row r="66" spans="1:4" ht="16.5" thickBot="1" x14ac:dyDescent="0.3">
      <c r="A66" s="28">
        <v>3</v>
      </c>
      <c r="B66" s="83" t="s">
        <v>78</v>
      </c>
      <c r="C66" s="83" t="s">
        <v>63</v>
      </c>
      <c r="D66" s="83" t="s">
        <v>41</v>
      </c>
    </row>
    <row r="67" spans="1:4" ht="16.5" thickBot="1" x14ac:dyDescent="0.3">
      <c r="A67" s="30" t="s">
        <v>42</v>
      </c>
      <c r="B67" s="34" t="s">
        <v>79</v>
      </c>
      <c r="C67" s="53">
        <v>4.1999999999999997E-3</v>
      </c>
      <c r="D67" s="44">
        <f>(C$17)*C67</f>
        <v>20.698314</v>
      </c>
    </row>
    <row r="68" spans="1:4" ht="16.5" thickBot="1" x14ac:dyDescent="0.3">
      <c r="A68" s="30" t="s">
        <v>44</v>
      </c>
      <c r="B68" s="51" t="s">
        <v>80</v>
      </c>
      <c r="C68" s="54">
        <f>C67*8%</f>
        <v>3.3599999999999998E-4</v>
      </c>
      <c r="D68" s="44">
        <f t="shared" ref="D68:D73" si="1">(C$17)*C68</f>
        <v>1.6558651199999999</v>
      </c>
    </row>
    <row r="69" spans="1:4" ht="16.5" thickBot="1" x14ac:dyDescent="0.3">
      <c r="A69" s="30" t="s">
        <v>46</v>
      </c>
      <c r="B69" s="34" t="s">
        <v>81</v>
      </c>
      <c r="C69" s="52">
        <v>4.3499999999999997E-2</v>
      </c>
      <c r="D69" s="44">
        <f t="shared" si="1"/>
        <v>214.375395</v>
      </c>
    </row>
    <row r="70" spans="1:4" ht="16.5" thickBot="1" x14ac:dyDescent="0.3">
      <c r="A70" s="30" t="s">
        <v>48</v>
      </c>
      <c r="B70" s="34" t="s">
        <v>82</v>
      </c>
      <c r="C70" s="55">
        <v>1.9400000000000001E-2</v>
      </c>
      <c r="D70" s="44">
        <f t="shared" si="1"/>
        <v>95.606498000000002</v>
      </c>
    </row>
    <row r="71" spans="1:4" ht="16.5" thickBot="1" x14ac:dyDescent="0.3">
      <c r="A71" s="30" t="s">
        <v>49</v>
      </c>
      <c r="B71" s="34" t="s">
        <v>83</v>
      </c>
      <c r="C71" s="52">
        <v>7.0000000000000001E-3</v>
      </c>
      <c r="D71" s="44">
        <f t="shared" si="1"/>
        <v>34.497190000000003</v>
      </c>
    </row>
    <row r="72" spans="1:4" ht="16.5" thickBot="1" x14ac:dyDescent="0.3">
      <c r="A72" s="30" t="s">
        <v>51</v>
      </c>
      <c r="B72" s="34" t="s">
        <v>84</v>
      </c>
      <c r="C72" s="52">
        <v>8.0000000000000004E-4</v>
      </c>
      <c r="D72" s="44">
        <f t="shared" si="1"/>
        <v>3.942536</v>
      </c>
    </row>
    <row r="73" spans="1:4" ht="16.5" thickBot="1" x14ac:dyDescent="0.3">
      <c r="A73" s="190" t="s">
        <v>5</v>
      </c>
      <c r="B73" s="191"/>
      <c r="C73" s="52">
        <f>SUM(C67:C72)</f>
        <v>7.5235999999999997E-2</v>
      </c>
      <c r="D73" s="44">
        <f t="shared" si="1"/>
        <v>370.77579811999999</v>
      </c>
    </row>
    <row r="76" spans="1:4" x14ac:dyDescent="0.25">
      <c r="A76" s="192" t="s">
        <v>85</v>
      </c>
      <c r="B76" s="192"/>
      <c r="C76" s="192"/>
    </row>
    <row r="79" spans="1:4" x14ac:dyDescent="0.25">
      <c r="A79" s="193" t="s">
        <v>86</v>
      </c>
      <c r="B79" s="193"/>
      <c r="C79" s="193"/>
    </row>
    <row r="80" spans="1:4" ht="16.5" thickBot="1" x14ac:dyDescent="0.3">
      <c r="A80" s="27"/>
    </row>
    <row r="81" spans="1:4" ht="16.5" thickBot="1" x14ac:dyDescent="0.3">
      <c r="A81" s="28" t="s">
        <v>87</v>
      </c>
      <c r="B81" s="83" t="s">
        <v>88</v>
      </c>
      <c r="C81" s="83" t="s">
        <v>63</v>
      </c>
      <c r="D81" s="83" t="s">
        <v>41</v>
      </c>
    </row>
    <row r="82" spans="1:4" ht="16.5" thickBot="1" x14ac:dyDescent="0.3">
      <c r="A82" s="30" t="s">
        <v>42</v>
      </c>
      <c r="B82" s="31" t="s">
        <v>6</v>
      </c>
      <c r="C82" s="52">
        <v>8.3299999999999999E-2</v>
      </c>
      <c r="D82" s="44">
        <f>(C$17)*C82</f>
        <v>410.51656100000002</v>
      </c>
    </row>
    <row r="83" spans="1:4" ht="16.5" thickBot="1" x14ac:dyDescent="0.3">
      <c r="A83" s="30" t="s">
        <v>44</v>
      </c>
      <c r="B83" s="31" t="s">
        <v>88</v>
      </c>
      <c r="C83" s="52">
        <v>8.2000000000000007E-3</v>
      </c>
      <c r="D83" s="44">
        <f t="shared" ref="D83:D88" si="2">(C$17)*C83</f>
        <v>40.410994000000002</v>
      </c>
    </row>
    <row r="84" spans="1:4" ht="16.5" thickBot="1" x14ac:dyDescent="0.3">
      <c r="A84" s="30" t="s">
        <v>46</v>
      </c>
      <c r="B84" s="31" t="s">
        <v>89</v>
      </c>
      <c r="C84" s="52">
        <v>2.0000000000000001E-4</v>
      </c>
      <c r="D84" s="44">
        <f t="shared" si="2"/>
        <v>0.98563400000000001</v>
      </c>
    </row>
    <row r="85" spans="1:4" ht="16.5" thickBot="1" x14ac:dyDescent="0.3">
      <c r="A85" s="30" t="s">
        <v>48</v>
      </c>
      <c r="B85" s="31" t="s">
        <v>90</v>
      </c>
      <c r="C85" s="52">
        <v>2.9999999999999997E-4</v>
      </c>
      <c r="D85" s="44">
        <f t="shared" si="2"/>
        <v>1.478451</v>
      </c>
    </row>
    <row r="86" spans="1:4" ht="16.5" thickBot="1" x14ac:dyDescent="0.3">
      <c r="A86" s="30" t="s">
        <v>49</v>
      </c>
      <c r="B86" s="31" t="s">
        <v>91</v>
      </c>
      <c r="C86" s="52">
        <v>6.1000000000000004E-3</v>
      </c>
      <c r="D86" s="44">
        <f t="shared" si="2"/>
        <v>30.061837000000001</v>
      </c>
    </row>
    <row r="87" spans="1:4" ht="16.5" thickBot="1" x14ac:dyDescent="0.3">
      <c r="A87" s="30" t="s">
        <v>51</v>
      </c>
      <c r="B87" s="31" t="s">
        <v>53</v>
      </c>
      <c r="C87" s="52">
        <v>0</v>
      </c>
      <c r="D87" s="44">
        <f t="shared" si="2"/>
        <v>0</v>
      </c>
    </row>
    <row r="88" spans="1:4" ht="16.5" thickBot="1" x14ac:dyDescent="0.3">
      <c r="A88" s="190" t="s">
        <v>70</v>
      </c>
      <c r="B88" s="191"/>
      <c r="C88" s="52">
        <v>9.8100000000000007E-2</v>
      </c>
      <c r="D88" s="44">
        <f t="shared" si="2"/>
        <v>483.45347700000002</v>
      </c>
    </row>
    <row r="91" spans="1:4" x14ac:dyDescent="0.25">
      <c r="A91" s="193" t="s">
        <v>92</v>
      </c>
      <c r="B91" s="193"/>
      <c r="C91" s="193"/>
    </row>
    <row r="92" spans="1:4" ht="16.5" thickBot="1" x14ac:dyDescent="0.3">
      <c r="A92" s="27"/>
    </row>
    <row r="93" spans="1:4" ht="16.5" thickBot="1" x14ac:dyDescent="0.3">
      <c r="A93" s="28" t="s">
        <v>93</v>
      </c>
      <c r="B93" s="83" t="s">
        <v>94</v>
      </c>
      <c r="C93" s="83" t="s">
        <v>41</v>
      </c>
    </row>
    <row r="94" spans="1:4" ht="16.5" thickBot="1" x14ac:dyDescent="0.3">
      <c r="A94" s="30" t="s">
        <v>42</v>
      </c>
      <c r="B94" s="31" t="s">
        <v>110</v>
      </c>
      <c r="C94" s="43"/>
    </row>
    <row r="95" spans="1:4" ht="16.5" thickBot="1" x14ac:dyDescent="0.3">
      <c r="A95" s="190" t="s">
        <v>5</v>
      </c>
      <c r="B95" s="191"/>
      <c r="C95" s="43"/>
    </row>
    <row r="98" spans="1:3" x14ac:dyDescent="0.25">
      <c r="A98" s="193" t="s">
        <v>95</v>
      </c>
      <c r="B98" s="193"/>
      <c r="C98" s="193"/>
    </row>
    <row r="99" spans="1:3" ht="16.5" thickBot="1" x14ac:dyDescent="0.3">
      <c r="A99" s="27"/>
    </row>
    <row r="100" spans="1:3" ht="16.5" thickBot="1" x14ac:dyDescent="0.3">
      <c r="A100" s="28">
        <v>4</v>
      </c>
      <c r="B100" s="83" t="s">
        <v>96</v>
      </c>
      <c r="C100" s="83" t="s">
        <v>41</v>
      </c>
    </row>
    <row r="101" spans="1:3" ht="16.5" thickBot="1" x14ac:dyDescent="0.3">
      <c r="A101" s="30" t="s">
        <v>87</v>
      </c>
      <c r="B101" s="31" t="s">
        <v>88</v>
      </c>
      <c r="C101" s="44">
        <f>D88</f>
        <v>483.45347700000002</v>
      </c>
    </row>
    <row r="102" spans="1:3" ht="16.5" thickBot="1" x14ac:dyDescent="0.3">
      <c r="A102" s="30" t="s">
        <v>93</v>
      </c>
      <c r="B102" s="31" t="s">
        <v>94</v>
      </c>
      <c r="C102" s="44">
        <f>C95</f>
        <v>0</v>
      </c>
    </row>
    <row r="103" spans="1:3" ht="16.5" thickBot="1" x14ac:dyDescent="0.3">
      <c r="A103" s="190" t="s">
        <v>5</v>
      </c>
      <c r="B103" s="191"/>
      <c r="C103" s="64">
        <f>C101+C102</f>
        <v>483.45347700000002</v>
      </c>
    </row>
    <row r="106" spans="1:3" x14ac:dyDescent="0.25">
      <c r="A106" s="192" t="s">
        <v>97</v>
      </c>
      <c r="B106" s="192"/>
      <c r="C106" s="192"/>
    </row>
    <row r="107" spans="1:3" ht="16.5" thickBot="1" x14ac:dyDescent="0.3"/>
    <row r="108" spans="1:3" ht="16.5" thickBot="1" x14ac:dyDescent="0.3">
      <c r="A108" s="28">
        <v>5</v>
      </c>
      <c r="B108" s="35" t="s">
        <v>24</v>
      </c>
      <c r="C108" s="83" t="s">
        <v>41</v>
      </c>
    </row>
    <row r="109" spans="1:3" ht="16.5" thickBot="1" x14ac:dyDescent="0.3">
      <c r="A109" s="30" t="s">
        <v>42</v>
      </c>
      <c r="B109" s="31" t="s">
        <v>98</v>
      </c>
      <c r="C109" s="44">
        <f>'Planilhas de Apoio'!C39</f>
        <v>86.948888888888902</v>
      </c>
    </row>
    <row r="110" spans="1:3" ht="16.5" thickBot="1" x14ac:dyDescent="0.3">
      <c r="A110" s="30" t="s">
        <v>44</v>
      </c>
      <c r="B110" s="31" t="s">
        <v>99</v>
      </c>
      <c r="C110" s="44">
        <v>0</v>
      </c>
    </row>
    <row r="111" spans="1:3" ht="16.5" thickBot="1" x14ac:dyDescent="0.3">
      <c r="A111" s="30" t="s">
        <v>46</v>
      </c>
      <c r="B111" s="31" t="s">
        <v>100</v>
      </c>
      <c r="C111" s="44">
        <v>0</v>
      </c>
    </row>
    <row r="112" spans="1:3" ht="16.5" thickBot="1" x14ac:dyDescent="0.3">
      <c r="A112" s="30" t="s">
        <v>48</v>
      </c>
      <c r="B112" s="31" t="s">
        <v>53</v>
      </c>
      <c r="C112" s="44">
        <v>0</v>
      </c>
    </row>
    <row r="113" spans="1:4" ht="16.5" thickBot="1" x14ac:dyDescent="0.3">
      <c r="A113" s="190" t="s">
        <v>70</v>
      </c>
      <c r="B113" s="191"/>
      <c r="C113" s="44">
        <f>SUM(C109:C112)</f>
        <v>86.948888888888902</v>
      </c>
    </row>
    <row r="116" spans="1:4" x14ac:dyDescent="0.25">
      <c r="A116" s="192" t="s">
        <v>101</v>
      </c>
      <c r="B116" s="192"/>
      <c r="C116" s="192"/>
    </row>
    <row r="117" spans="1:4" ht="16.5" thickBot="1" x14ac:dyDescent="0.3"/>
    <row r="118" spans="1:4" ht="16.5" thickBot="1" x14ac:dyDescent="0.3">
      <c r="A118" s="28">
        <v>6</v>
      </c>
      <c r="B118" s="35" t="s">
        <v>25</v>
      </c>
      <c r="C118" s="83" t="s">
        <v>63</v>
      </c>
      <c r="D118" s="83" t="s">
        <v>41</v>
      </c>
    </row>
    <row r="119" spans="1:4" ht="16.5" thickBot="1" x14ac:dyDescent="0.3">
      <c r="A119" s="30" t="s">
        <v>42</v>
      </c>
      <c r="B119" s="68" t="s">
        <v>26</v>
      </c>
      <c r="C119" s="188">
        <v>9.0999999999999998E-2</v>
      </c>
      <c r="D119" s="70">
        <f>C119*C138</f>
        <v>864.576951913058</v>
      </c>
    </row>
    <row r="120" spans="1:4" ht="16.5" thickBot="1" x14ac:dyDescent="0.3">
      <c r="A120" s="30" t="s">
        <v>44</v>
      </c>
      <c r="B120" s="68" t="s">
        <v>28</v>
      </c>
      <c r="C120" s="188">
        <v>5.8999999999999997E-2</v>
      </c>
      <c r="D120" s="70">
        <f>C120*(C138+D119)</f>
        <v>611.55993206254539</v>
      </c>
    </row>
    <row r="121" spans="1:4" ht="16.5" thickBot="1" x14ac:dyDescent="0.3">
      <c r="A121" s="30" t="s">
        <v>46</v>
      </c>
      <c r="B121" s="31" t="s">
        <v>27</v>
      </c>
      <c r="C121" s="33"/>
      <c r="D121" s="44">
        <f>(C$17+C$61+D$73+C$103+C$113)*C121</f>
        <v>0</v>
      </c>
    </row>
    <row r="122" spans="1:4" ht="16.5" thickBot="1" x14ac:dyDescent="0.3">
      <c r="A122" s="30"/>
      <c r="B122" s="68" t="s">
        <v>114</v>
      </c>
      <c r="C122" s="69">
        <f>C123+C124</f>
        <v>9.2499999999999999E-2</v>
      </c>
      <c r="D122" s="70">
        <f>C122*(C$138+D$119+D$120)</f>
        <v>1015.3708821189286</v>
      </c>
    </row>
    <row r="123" spans="1:4" ht="16.5" thickBot="1" x14ac:dyDescent="0.3">
      <c r="A123" s="30"/>
      <c r="B123" s="31" t="s">
        <v>112</v>
      </c>
      <c r="C123" s="33">
        <v>7.5999999999999998E-2</v>
      </c>
      <c r="D123" s="44">
        <f>C123*(C$138+D$119+D$120)</f>
        <v>834.2506707139305</v>
      </c>
    </row>
    <row r="124" spans="1:4" ht="16.5" thickBot="1" x14ac:dyDescent="0.3">
      <c r="A124" s="30"/>
      <c r="B124" s="31" t="s">
        <v>113</v>
      </c>
      <c r="C124" s="33">
        <v>1.6500000000000001E-2</v>
      </c>
      <c r="D124" s="44">
        <f>C124*(C$138+D$119+D$120)</f>
        <v>181.12021140499809</v>
      </c>
    </row>
    <row r="125" spans="1:4" ht="16.5" thickBot="1" x14ac:dyDescent="0.3">
      <c r="A125" s="30"/>
      <c r="B125" s="68" t="s">
        <v>115</v>
      </c>
      <c r="C125" s="69">
        <v>0</v>
      </c>
      <c r="D125" s="70">
        <f>C125*(C$138+D$119+D$120)</f>
        <v>0</v>
      </c>
    </row>
    <row r="126" spans="1:4" ht="16.5" thickBot="1" x14ac:dyDescent="0.3">
      <c r="A126" s="30"/>
      <c r="B126" s="68" t="s">
        <v>116</v>
      </c>
      <c r="C126" s="69">
        <v>0.05</v>
      </c>
      <c r="D126" s="70">
        <f>C126*(C$138+D$119+D$120)</f>
        <v>548.84912546969122</v>
      </c>
    </row>
    <row r="127" spans="1:4" ht="16.5" thickBot="1" x14ac:dyDescent="0.3">
      <c r="A127" s="194" t="s">
        <v>70</v>
      </c>
      <c r="B127" s="195"/>
      <c r="C127" s="69">
        <f>C119+C120+C122+C125+C126</f>
        <v>0.29249999999999998</v>
      </c>
      <c r="D127" s="70">
        <f>D119+D120+D122+D125+D126</f>
        <v>3040.3568915642227</v>
      </c>
    </row>
    <row r="130" spans="1:3" x14ac:dyDescent="0.25">
      <c r="A130" s="192" t="s">
        <v>102</v>
      </c>
      <c r="B130" s="192"/>
      <c r="C130" s="192"/>
    </row>
    <row r="131" spans="1:3" ht="16.5" thickBot="1" x14ac:dyDescent="0.3"/>
    <row r="132" spans="1:3" ht="16.5" thickBot="1" x14ac:dyDescent="0.3">
      <c r="A132" s="28"/>
      <c r="B132" s="83" t="s">
        <v>103</v>
      </c>
      <c r="C132" s="83" t="s">
        <v>41</v>
      </c>
    </row>
    <row r="133" spans="1:3" ht="16.5" thickBot="1" x14ac:dyDescent="0.3">
      <c r="A133" s="37" t="s">
        <v>42</v>
      </c>
      <c r="B133" s="31" t="s">
        <v>39</v>
      </c>
      <c r="C133" s="67">
        <f>C17</f>
        <v>4928.17</v>
      </c>
    </row>
    <row r="134" spans="1:3" ht="16.5" thickBot="1" x14ac:dyDescent="0.3">
      <c r="A134" s="37" t="s">
        <v>44</v>
      </c>
      <c r="B134" s="31" t="s">
        <v>54</v>
      </c>
      <c r="C134" s="67">
        <f>C61</f>
        <v>3631.4974614093339</v>
      </c>
    </row>
    <row r="135" spans="1:3" ht="16.5" thickBot="1" x14ac:dyDescent="0.3">
      <c r="A135" s="37" t="s">
        <v>46</v>
      </c>
      <c r="B135" s="31" t="s">
        <v>77</v>
      </c>
      <c r="C135" s="67">
        <f>D73</f>
        <v>370.77579811999999</v>
      </c>
    </row>
    <row r="136" spans="1:3" ht="16.5" thickBot="1" x14ac:dyDescent="0.3">
      <c r="A136" s="37" t="s">
        <v>48</v>
      </c>
      <c r="B136" s="31" t="s">
        <v>85</v>
      </c>
      <c r="C136" s="67">
        <f>D88</f>
        <v>483.45347700000002</v>
      </c>
    </row>
    <row r="137" spans="1:3" ht="16.5" thickBot="1" x14ac:dyDescent="0.3">
      <c r="A137" s="37" t="s">
        <v>49</v>
      </c>
      <c r="B137" s="31" t="s">
        <v>97</v>
      </c>
      <c r="C137" s="67">
        <f>C113</f>
        <v>86.948888888888902</v>
      </c>
    </row>
    <row r="138" spans="1:3" ht="16.5" customHeight="1" thickBot="1" x14ac:dyDescent="0.3">
      <c r="A138" s="190" t="s">
        <v>104</v>
      </c>
      <c r="B138" s="191"/>
      <c r="C138" s="67">
        <f>SUM(C133:C137)</f>
        <v>9500.8456254182202</v>
      </c>
    </row>
    <row r="139" spans="1:3" ht="16.5" thickBot="1" x14ac:dyDescent="0.3">
      <c r="A139" s="37" t="s">
        <v>51</v>
      </c>
      <c r="B139" s="31" t="s">
        <v>105</v>
      </c>
      <c r="C139" s="67">
        <f>D127</f>
        <v>3040.3568915642227</v>
      </c>
    </row>
    <row r="140" spans="1:3" ht="16.5" customHeight="1" thickBot="1" x14ac:dyDescent="0.3">
      <c r="A140" s="190" t="s">
        <v>106</v>
      </c>
      <c r="B140" s="191"/>
      <c r="C140" s="71">
        <f>C138+C139</f>
        <v>12541.202516982443</v>
      </c>
    </row>
  </sheetData>
  <mergeCells count="33">
    <mergeCell ref="A30:D30"/>
    <mergeCell ref="A1:D1"/>
    <mergeCell ref="A2:D2"/>
    <mergeCell ref="A3:D3"/>
    <mergeCell ref="B4:C4"/>
    <mergeCell ref="B5:C5"/>
    <mergeCell ref="B6:C6"/>
    <mergeCell ref="A7:C7"/>
    <mergeCell ref="A17:B17"/>
    <mergeCell ref="A20:C20"/>
    <mergeCell ref="A22:C22"/>
    <mergeCell ref="A27:B27"/>
    <mergeCell ref="A95:B95"/>
    <mergeCell ref="A41:B41"/>
    <mergeCell ref="A44:C44"/>
    <mergeCell ref="A52:B52"/>
    <mergeCell ref="A55:C55"/>
    <mergeCell ref="A61:B61"/>
    <mergeCell ref="A64:C64"/>
    <mergeCell ref="A73:B73"/>
    <mergeCell ref="A76:C76"/>
    <mergeCell ref="A79:C79"/>
    <mergeCell ref="A88:B88"/>
    <mergeCell ref="A91:C91"/>
    <mergeCell ref="A130:C130"/>
    <mergeCell ref="A138:B138"/>
    <mergeCell ref="A140:B140"/>
    <mergeCell ref="A98:C98"/>
    <mergeCell ref="A103:B103"/>
    <mergeCell ref="A106:C106"/>
    <mergeCell ref="A113:B113"/>
    <mergeCell ref="A116:C116"/>
    <mergeCell ref="A127:B12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1" workbookViewId="0">
      <selection activeCell="C26" sqref="C26"/>
    </sheetView>
  </sheetViews>
  <sheetFormatPr defaultRowHeight="15" x14ac:dyDescent="0.25"/>
  <cols>
    <col min="1" max="1" width="62.5703125" customWidth="1"/>
    <col min="2" max="2" width="16.140625" customWidth="1"/>
    <col min="3" max="3" width="15.42578125" customWidth="1"/>
  </cols>
  <sheetData>
    <row r="1" spans="1:5" ht="15.75" x14ac:dyDescent="0.25">
      <c r="A1" s="216"/>
      <c r="B1" s="216"/>
      <c r="C1" s="216"/>
    </row>
    <row r="2" spans="1:5" ht="18.75" x14ac:dyDescent="0.25">
      <c r="A2" s="217" t="s">
        <v>150</v>
      </c>
      <c r="B2" s="217"/>
      <c r="C2" s="217"/>
    </row>
    <row r="3" spans="1:5" ht="31.5" x14ac:dyDescent="0.25">
      <c r="A3" s="87" t="s">
        <v>151</v>
      </c>
      <c r="B3" s="88" t="s">
        <v>152</v>
      </c>
      <c r="C3" s="89" t="s">
        <v>153</v>
      </c>
    </row>
    <row r="4" spans="1:5" ht="15.75" x14ac:dyDescent="0.25">
      <c r="A4" s="215" t="s">
        <v>154</v>
      </c>
      <c r="B4" s="215"/>
      <c r="C4" s="215"/>
    </row>
    <row r="5" spans="1:5" ht="15.75" x14ac:dyDescent="0.25">
      <c r="A5" s="211" t="s">
        <v>155</v>
      </c>
      <c r="B5" s="211"/>
      <c r="C5" s="90" t="s">
        <v>153</v>
      </c>
      <c r="E5" t="s">
        <v>427</v>
      </c>
    </row>
    <row r="6" spans="1:5" ht="15.75" x14ac:dyDescent="0.25">
      <c r="A6" s="212" t="s">
        <v>432</v>
      </c>
      <c r="B6" s="212"/>
      <c r="C6" s="182">
        <f>2501.13+771.6</f>
        <v>3272.73</v>
      </c>
      <c r="E6" s="189">
        <v>6.17</v>
      </c>
    </row>
    <row r="7" spans="1:5" ht="15.75" x14ac:dyDescent="0.25">
      <c r="A7" s="212" t="s">
        <v>431</v>
      </c>
      <c r="B7" s="212"/>
      <c r="C7" s="183">
        <v>443.4</v>
      </c>
    </row>
    <row r="8" spans="1:5" ht="15.75" x14ac:dyDescent="0.25">
      <c r="A8" s="212" t="s">
        <v>157</v>
      </c>
      <c r="B8" s="212"/>
      <c r="C8" s="182">
        <v>613.61</v>
      </c>
    </row>
    <row r="9" spans="1:5" ht="15.75" x14ac:dyDescent="0.25">
      <c r="A9" s="213" t="s">
        <v>429</v>
      </c>
      <c r="B9" s="213"/>
      <c r="C9" s="185">
        <f>600+24.92</f>
        <v>624.91999999999996</v>
      </c>
    </row>
    <row r="10" spans="1:5" ht="15.75" x14ac:dyDescent="0.25">
      <c r="A10" s="209" t="s">
        <v>158</v>
      </c>
      <c r="B10" s="209"/>
      <c r="C10" s="93">
        <f>SUM(C6:C9)</f>
        <v>4954.66</v>
      </c>
    </row>
    <row r="11" spans="1:5" ht="16.5" thickBot="1" x14ac:dyDescent="0.3">
      <c r="A11" s="94" t="s">
        <v>159</v>
      </c>
      <c r="B11" s="188">
        <v>9.0999999999999998E-2</v>
      </c>
      <c r="C11" s="95">
        <f>B11*C10</f>
        <v>450.87405999999999</v>
      </c>
    </row>
    <row r="12" spans="1:5" ht="16.5" thickBot="1" x14ac:dyDescent="0.3">
      <c r="A12" s="94" t="s">
        <v>160</v>
      </c>
      <c r="B12" s="188">
        <v>5.8999999999999997E-2</v>
      </c>
      <c r="C12" s="95">
        <f>B12*C10</f>
        <v>292.32493999999997</v>
      </c>
    </row>
    <row r="13" spans="1:5" ht="15.75" x14ac:dyDescent="0.25">
      <c r="A13" s="96" t="s">
        <v>161</v>
      </c>
      <c r="B13" s="97">
        <f>SUM(B14:B17)</f>
        <v>0.14250000000000002</v>
      </c>
      <c r="C13" s="98">
        <f t="shared" ref="C13:C14" si="0">((C$10+C$11+C$12)/(1-($B$13)))*$B13</f>
        <v>946.87452769679328</v>
      </c>
    </row>
    <row r="14" spans="1:5" ht="15.75" x14ac:dyDescent="0.25">
      <c r="A14" s="99" t="s">
        <v>162</v>
      </c>
      <c r="B14" s="97">
        <v>9.2499999999999999E-2</v>
      </c>
      <c r="C14" s="98">
        <f t="shared" si="0"/>
        <v>614.63785131195345</v>
      </c>
    </row>
    <row r="15" spans="1:5" ht="15.75" x14ac:dyDescent="0.25">
      <c r="A15" s="99" t="s">
        <v>163</v>
      </c>
      <c r="B15" s="97">
        <v>0</v>
      </c>
      <c r="C15" s="100">
        <v>0</v>
      </c>
    </row>
    <row r="16" spans="1:5" ht="15.75" x14ac:dyDescent="0.25">
      <c r="A16" s="99" t="s">
        <v>164</v>
      </c>
      <c r="B16" s="97">
        <v>0.05</v>
      </c>
      <c r="C16" s="98">
        <f>((C$10+C$11+C$12)/(1-($B$13)))*$B16</f>
        <v>332.23667638483971</v>
      </c>
    </row>
    <row r="17" spans="1:6" ht="15.75" x14ac:dyDescent="0.25">
      <c r="A17" s="99" t="s">
        <v>165</v>
      </c>
      <c r="B17" s="97">
        <v>0</v>
      </c>
      <c r="C17" s="98">
        <v>0</v>
      </c>
    </row>
    <row r="18" spans="1:6" ht="15.75" x14ac:dyDescent="0.25">
      <c r="A18" s="214" t="s">
        <v>166</v>
      </c>
      <c r="B18" s="214"/>
      <c r="C18" s="101">
        <f>C10+C11+C12+C16</f>
        <v>6030.0956763848399</v>
      </c>
    </row>
    <row r="19" spans="1:6" ht="33" customHeight="1" x14ac:dyDescent="0.25">
      <c r="A19" s="215" t="s">
        <v>167</v>
      </c>
      <c r="B19" s="215"/>
      <c r="C19" s="215"/>
      <c r="D19">
        <v>2023.2</v>
      </c>
    </row>
    <row r="20" spans="1:6" ht="15.75" x14ac:dyDescent="0.25">
      <c r="A20" s="211" t="s">
        <v>168</v>
      </c>
      <c r="B20" s="211"/>
      <c r="C20" s="90" t="s">
        <v>153</v>
      </c>
    </row>
    <row r="21" spans="1:6" ht="15.75" x14ac:dyDescent="0.25">
      <c r="A21" s="212" t="s">
        <v>169</v>
      </c>
      <c r="B21" s="212"/>
      <c r="C21" s="182">
        <f>465.16*1.2</f>
        <v>558.19200000000001</v>
      </c>
      <c r="E21">
        <v>0.1545</v>
      </c>
    </row>
    <row r="22" spans="1:6" ht="15.75" x14ac:dyDescent="0.25">
      <c r="A22" s="212" t="s">
        <v>170</v>
      </c>
      <c r="B22" s="212"/>
      <c r="C22" s="182">
        <f>E22*D22</f>
        <v>720.86616000000004</v>
      </c>
      <c r="D22">
        <f>D19/10</f>
        <v>202.32</v>
      </c>
      <c r="E22" s="184">
        <v>3.5630000000000002</v>
      </c>
      <c r="F22" t="s">
        <v>433</v>
      </c>
    </row>
    <row r="23" spans="1:6" ht="15.75" x14ac:dyDescent="0.25">
      <c r="A23" s="212" t="s">
        <v>171</v>
      </c>
      <c r="B23" s="212"/>
      <c r="C23" s="182">
        <v>32.42</v>
      </c>
      <c r="E23">
        <v>6.8999999999999999E-3</v>
      </c>
    </row>
    <row r="24" spans="1:6" ht="15.75" x14ac:dyDescent="0.25">
      <c r="A24" s="213" t="s">
        <v>172</v>
      </c>
      <c r="B24" s="213"/>
      <c r="C24" s="92">
        <f>E24*D19</f>
        <v>267.06240000000003</v>
      </c>
      <c r="E24">
        <v>0.13200000000000001</v>
      </c>
    </row>
    <row r="25" spans="1:6" ht="15.75" x14ac:dyDescent="0.25">
      <c r="A25" s="213" t="s">
        <v>173</v>
      </c>
      <c r="B25" s="213"/>
      <c r="C25" s="92">
        <f>E25*D19</f>
        <v>54.788256000000004</v>
      </c>
      <c r="E25">
        <v>2.708E-2</v>
      </c>
    </row>
    <row r="26" spans="1:6" ht="15.75" x14ac:dyDescent="0.25">
      <c r="A26" s="213" t="s">
        <v>428</v>
      </c>
      <c r="B26" s="213"/>
      <c r="C26" s="185">
        <f>E26*D19</f>
        <v>405.44927999999999</v>
      </c>
      <c r="D26" s="184"/>
      <c r="E26" s="184">
        <f>0.2004</f>
        <v>0.20039999999999999</v>
      </c>
    </row>
    <row r="27" spans="1:6" ht="15.75" x14ac:dyDescent="0.25">
      <c r="A27" s="187" t="s">
        <v>430</v>
      </c>
      <c r="B27">
        <v>4.0490860953944829E-2</v>
      </c>
      <c r="C27" s="185">
        <f>D19*B27</f>
        <v>81.921109882021184</v>
      </c>
      <c r="D27" s="184"/>
      <c r="E27" s="184"/>
    </row>
    <row r="28" spans="1:6" ht="15.75" x14ac:dyDescent="0.25">
      <c r="A28" s="209" t="s">
        <v>175</v>
      </c>
      <c r="B28" s="209"/>
      <c r="C28" s="93">
        <f>SUM(C21:C27)</f>
        <v>2120.6992058820215</v>
      </c>
    </row>
    <row r="29" spans="1:6" ht="16.5" thickBot="1" x14ac:dyDescent="0.3">
      <c r="A29" s="94" t="s">
        <v>176</v>
      </c>
      <c r="B29" s="188">
        <v>9.0999999999999998E-2</v>
      </c>
      <c r="C29" s="95">
        <f>B29*C28</f>
        <v>192.98362773526395</v>
      </c>
    </row>
    <row r="30" spans="1:6" ht="16.5" thickBot="1" x14ac:dyDescent="0.3">
      <c r="A30" s="94" t="s">
        <v>177</v>
      </c>
      <c r="B30" s="188">
        <v>5.8999999999999997E-2</v>
      </c>
      <c r="C30" s="95">
        <f>B30*C28</f>
        <v>125.12125314703925</v>
      </c>
    </row>
    <row r="31" spans="1:6" ht="15.75" x14ac:dyDescent="0.25">
      <c r="A31" s="96" t="s">
        <v>178</v>
      </c>
      <c r="B31" s="97">
        <f>SUM(B32:B35)</f>
        <v>0.14250000000000002</v>
      </c>
      <c r="C31" s="98">
        <f t="shared" ref="C31:C32" si="1">((C$28+C$29+C$30)/(1-($B$31)))*$B31</f>
        <v>405.28231179465456</v>
      </c>
    </row>
    <row r="32" spans="1:6" ht="15.75" x14ac:dyDescent="0.25">
      <c r="A32" s="99" t="s">
        <v>179</v>
      </c>
      <c r="B32" s="97">
        <v>9.2499999999999999E-2</v>
      </c>
      <c r="C32" s="98">
        <f t="shared" si="1"/>
        <v>263.07799186670553</v>
      </c>
    </row>
    <row r="33" spans="1:3" ht="15.75" x14ac:dyDescent="0.25">
      <c r="A33" s="99" t="s">
        <v>180</v>
      </c>
      <c r="B33" s="97">
        <v>0</v>
      </c>
      <c r="C33" s="100"/>
    </row>
    <row r="34" spans="1:3" ht="15.75" x14ac:dyDescent="0.25">
      <c r="A34" s="99" t="s">
        <v>181</v>
      </c>
      <c r="B34" s="97">
        <v>0.05</v>
      </c>
      <c r="C34" s="98">
        <f>((C$28+C$29+C$30)/(1-($B$31)))*$B34</f>
        <v>142.20431992794894</v>
      </c>
    </row>
    <row r="35" spans="1:3" ht="15.75" x14ac:dyDescent="0.25">
      <c r="A35" s="99" t="s">
        <v>182</v>
      </c>
      <c r="B35" s="97">
        <v>0</v>
      </c>
      <c r="C35" s="98"/>
    </row>
    <row r="36" spans="1:3" ht="15.75" x14ac:dyDescent="0.25">
      <c r="A36" s="210" t="s">
        <v>347</v>
      </c>
      <c r="B36" s="210"/>
      <c r="C36" s="102">
        <f>C28+C29+C30+C31</f>
        <v>2844.086398558979</v>
      </c>
    </row>
    <row r="37" spans="1:3" ht="15.75" x14ac:dyDescent="0.25">
      <c r="A37" s="210" t="s">
        <v>183</v>
      </c>
      <c r="B37" s="210"/>
      <c r="C37" s="102">
        <f>C36/D19</f>
        <v>1.405736654092022</v>
      </c>
    </row>
    <row r="38" spans="1:3" ht="15.75" x14ac:dyDescent="0.25">
      <c r="A38" s="206" t="s">
        <v>184</v>
      </c>
      <c r="B38" s="206"/>
      <c r="C38" s="206"/>
    </row>
    <row r="39" spans="1:3" ht="15.75" x14ac:dyDescent="0.25">
      <c r="A39" s="211" t="s">
        <v>184</v>
      </c>
      <c r="B39" s="211"/>
      <c r="C39" s="90" t="s">
        <v>153</v>
      </c>
    </row>
    <row r="40" spans="1:3" ht="15.75" x14ac:dyDescent="0.25">
      <c r="A40" s="212" t="s">
        <v>382</v>
      </c>
      <c r="B40" s="212"/>
      <c r="C40" s="90">
        <f>C18+(C36)</f>
        <v>8874.1820749438193</v>
      </c>
    </row>
    <row r="41" spans="1:3" ht="15.75" x14ac:dyDescent="0.25">
      <c r="A41" s="206"/>
      <c r="B41" s="206"/>
      <c r="C41" s="206"/>
    </row>
    <row r="42" spans="1:3" x14ac:dyDescent="0.25">
      <c r="A42" s="207" t="s">
        <v>185</v>
      </c>
      <c r="B42" s="207"/>
      <c r="C42" s="207"/>
    </row>
    <row r="43" spans="1:3" x14ac:dyDescent="0.25">
      <c r="A43" s="207"/>
      <c r="B43" s="207"/>
      <c r="C43" s="207"/>
    </row>
    <row r="44" spans="1:3" x14ac:dyDescent="0.25">
      <c r="A44" s="207"/>
      <c r="B44" s="207"/>
      <c r="C44" s="207"/>
    </row>
    <row r="45" spans="1:3" ht="15.75" x14ac:dyDescent="0.25">
      <c r="A45" s="208" t="s">
        <v>186</v>
      </c>
      <c r="B45" s="208"/>
      <c r="C45" s="208"/>
    </row>
  </sheetData>
  <mergeCells count="27">
    <mergeCell ref="A7:B7"/>
    <mergeCell ref="A1:C1"/>
    <mergeCell ref="A2:C2"/>
    <mergeCell ref="A4:C4"/>
    <mergeCell ref="A5:B5"/>
    <mergeCell ref="A6:B6"/>
    <mergeCell ref="A26:B26"/>
    <mergeCell ref="A8:B8"/>
    <mergeCell ref="A9:B9"/>
    <mergeCell ref="A10:B10"/>
    <mergeCell ref="A18:B18"/>
    <mergeCell ref="A19:C19"/>
    <mergeCell ref="A20:B20"/>
    <mergeCell ref="A21:B21"/>
    <mergeCell ref="A22:B22"/>
    <mergeCell ref="A23:B23"/>
    <mergeCell ref="A24:B24"/>
    <mergeCell ref="A25:B25"/>
    <mergeCell ref="A41:C41"/>
    <mergeCell ref="A42:C44"/>
    <mergeCell ref="A45:C45"/>
    <mergeCell ref="A28:B28"/>
    <mergeCell ref="A36:B36"/>
    <mergeCell ref="A37:B37"/>
    <mergeCell ref="A38:C38"/>
    <mergeCell ref="A39:B39"/>
    <mergeCell ref="A40:B4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8" workbookViewId="0">
      <selection activeCell="E10" sqref="E10"/>
    </sheetView>
  </sheetViews>
  <sheetFormatPr defaultRowHeight="15" x14ac:dyDescent="0.25"/>
  <cols>
    <col min="1" max="1" width="62.5703125" customWidth="1"/>
    <col min="2" max="2" width="16.140625" customWidth="1"/>
    <col min="3" max="3" width="15.42578125" customWidth="1"/>
    <col min="5" max="5" width="10.140625" customWidth="1"/>
  </cols>
  <sheetData>
    <row r="1" spans="1:5" ht="15.75" x14ac:dyDescent="0.25">
      <c r="A1" s="216"/>
      <c r="B1" s="216"/>
      <c r="C1" s="216"/>
    </row>
    <row r="2" spans="1:5" ht="18.75" x14ac:dyDescent="0.25">
      <c r="A2" s="217" t="s">
        <v>187</v>
      </c>
      <c r="B2" s="217"/>
      <c r="C2" s="217"/>
    </row>
    <row r="3" spans="1:5" ht="31.5" x14ac:dyDescent="0.25">
      <c r="A3" s="87" t="s">
        <v>151</v>
      </c>
      <c r="B3" s="88" t="s">
        <v>152</v>
      </c>
      <c r="C3" s="89" t="s">
        <v>153</v>
      </c>
    </row>
    <row r="4" spans="1:5" ht="15.75" x14ac:dyDescent="0.25">
      <c r="A4" s="215" t="s">
        <v>188</v>
      </c>
      <c r="B4" s="215"/>
      <c r="C4" s="215"/>
    </row>
    <row r="5" spans="1:5" ht="15.75" x14ac:dyDescent="0.25">
      <c r="A5" s="211" t="s">
        <v>155</v>
      </c>
      <c r="B5" s="211"/>
      <c r="C5" s="90" t="s">
        <v>153</v>
      </c>
      <c r="E5" t="s">
        <v>427</v>
      </c>
    </row>
    <row r="6" spans="1:5" ht="15.75" x14ac:dyDescent="0.25">
      <c r="A6" s="212" t="s">
        <v>432</v>
      </c>
      <c r="B6" s="212"/>
      <c r="C6" s="182">
        <f>2693.08+830.82</f>
        <v>3523.9</v>
      </c>
      <c r="E6" s="189">
        <v>6.17</v>
      </c>
    </row>
    <row r="7" spans="1:5" ht="15.75" x14ac:dyDescent="0.25">
      <c r="A7" s="212" t="s">
        <v>156</v>
      </c>
      <c r="B7" s="212"/>
      <c r="C7" s="183">
        <v>472.2</v>
      </c>
    </row>
    <row r="8" spans="1:5" ht="15.75" x14ac:dyDescent="0.25">
      <c r="A8" s="212" t="s">
        <v>157</v>
      </c>
      <c r="B8" s="212"/>
      <c r="C8" s="182">
        <v>681.05</v>
      </c>
      <c r="E8" s="186"/>
    </row>
    <row r="9" spans="1:5" ht="15.75" x14ac:dyDescent="0.25">
      <c r="A9" s="213" t="s">
        <v>429</v>
      </c>
      <c r="B9" s="213"/>
      <c r="C9" s="185">
        <f>600+24.92</f>
        <v>624.91999999999996</v>
      </c>
    </row>
    <row r="10" spans="1:5" ht="15.75" x14ac:dyDescent="0.25">
      <c r="A10" s="209" t="s">
        <v>158</v>
      </c>
      <c r="B10" s="209"/>
      <c r="C10" s="93">
        <f>SUM(C6:C9)</f>
        <v>5302.07</v>
      </c>
    </row>
    <row r="11" spans="1:5" ht="16.5" thickBot="1" x14ac:dyDescent="0.3">
      <c r="A11" s="94" t="s">
        <v>159</v>
      </c>
      <c r="B11" s="188">
        <v>9.0999999999999998E-2</v>
      </c>
      <c r="C11" s="95">
        <f>B11*C10</f>
        <v>482.48836999999997</v>
      </c>
    </row>
    <row r="12" spans="1:5" ht="16.5" thickBot="1" x14ac:dyDescent="0.3">
      <c r="A12" s="94" t="s">
        <v>160</v>
      </c>
      <c r="B12" s="188">
        <v>5.8999999999999997E-2</v>
      </c>
      <c r="C12" s="95">
        <f>B12*C10</f>
        <v>312.82212999999996</v>
      </c>
    </row>
    <row r="13" spans="1:5" ht="15.75" x14ac:dyDescent="0.25">
      <c r="A13" s="96" t="s">
        <v>161</v>
      </c>
      <c r="B13" s="97">
        <f>SUM(B14:B17)</f>
        <v>0.14250000000000002</v>
      </c>
      <c r="C13" s="98">
        <f t="shared" ref="C13:C14" si="0">((C$10+C$11+C$12)/(1-($B$13)))*$B13</f>
        <v>1013.2673134110788</v>
      </c>
    </row>
    <row r="14" spans="1:5" ht="15.75" x14ac:dyDescent="0.25">
      <c r="A14" s="99" t="s">
        <v>162</v>
      </c>
      <c r="B14" s="97">
        <v>9.2499999999999999E-2</v>
      </c>
      <c r="C14" s="98">
        <f t="shared" si="0"/>
        <v>657.73492274052478</v>
      </c>
    </row>
    <row r="15" spans="1:5" ht="15.75" x14ac:dyDescent="0.25">
      <c r="A15" s="99" t="s">
        <v>163</v>
      </c>
      <c r="B15" s="97">
        <v>0</v>
      </c>
      <c r="C15" s="100">
        <v>0</v>
      </c>
    </row>
    <row r="16" spans="1:5" ht="15.75" x14ac:dyDescent="0.25">
      <c r="A16" s="99" t="s">
        <v>164</v>
      </c>
      <c r="B16" s="97">
        <v>0.05</v>
      </c>
      <c r="C16" s="98">
        <f>((C$10+C$11+C$12)/(1-($B$13)))*$B16</f>
        <v>355.53239067055392</v>
      </c>
    </row>
    <row r="17" spans="1:6" ht="15.75" x14ac:dyDescent="0.25">
      <c r="A17" s="99" t="s">
        <v>165</v>
      </c>
      <c r="B17" s="97">
        <v>0</v>
      </c>
      <c r="C17" s="98">
        <v>0</v>
      </c>
    </row>
    <row r="18" spans="1:6" ht="15.75" x14ac:dyDescent="0.25">
      <c r="A18" s="214" t="s">
        <v>166</v>
      </c>
      <c r="B18" s="214"/>
      <c r="C18" s="101">
        <f>C10+C11+C12+C16</f>
        <v>6452.9128906705537</v>
      </c>
    </row>
    <row r="19" spans="1:6" ht="33" customHeight="1" x14ac:dyDescent="0.25">
      <c r="A19" s="215" t="s">
        <v>167</v>
      </c>
      <c r="B19" s="215"/>
      <c r="C19" s="215"/>
      <c r="D19">
        <v>2023.2</v>
      </c>
    </row>
    <row r="20" spans="1:6" ht="15.75" x14ac:dyDescent="0.25">
      <c r="A20" s="211" t="s">
        <v>168</v>
      </c>
      <c r="B20" s="211"/>
      <c r="C20" s="90" t="s">
        <v>153</v>
      </c>
    </row>
    <row r="21" spans="1:6" ht="15.75" x14ac:dyDescent="0.25">
      <c r="A21" s="212" t="s">
        <v>169</v>
      </c>
      <c r="B21" s="212"/>
      <c r="C21" s="182">
        <f>(E21*D19)*1.2</f>
        <v>487.631664</v>
      </c>
      <c r="E21">
        <f>0.1545*1.3</f>
        <v>0.20085</v>
      </c>
    </row>
    <row r="22" spans="1:6" ht="15.75" x14ac:dyDescent="0.25">
      <c r="A22" s="212" t="s">
        <v>170</v>
      </c>
      <c r="B22" s="212"/>
      <c r="C22" s="182">
        <f>E22*D22</f>
        <v>600.72180000000003</v>
      </c>
      <c r="D22">
        <f>D19/12</f>
        <v>168.6</v>
      </c>
      <c r="E22" s="184">
        <v>3.5630000000000002</v>
      </c>
      <c r="F22" t="s">
        <v>433</v>
      </c>
    </row>
    <row r="23" spans="1:6" ht="15.75" x14ac:dyDescent="0.25">
      <c r="A23" s="212" t="s">
        <v>171</v>
      </c>
      <c r="B23" s="212"/>
      <c r="C23" s="182">
        <v>40</v>
      </c>
      <c r="E23">
        <f>0.0069*1.3</f>
        <v>8.9700000000000005E-3</v>
      </c>
    </row>
    <row r="24" spans="1:6" ht="15.75" x14ac:dyDescent="0.25">
      <c r="A24" s="213" t="s">
        <v>172</v>
      </c>
      <c r="B24" s="213"/>
      <c r="C24" s="92">
        <f>E24*D19</f>
        <v>347.18112000000002</v>
      </c>
      <c r="E24">
        <f>0.132*1.3</f>
        <v>0.1716</v>
      </c>
    </row>
    <row r="25" spans="1:6" ht="15.75" x14ac:dyDescent="0.25">
      <c r="A25" s="213" t="s">
        <v>173</v>
      </c>
      <c r="B25" s="213"/>
      <c r="C25" s="92">
        <f>E25*D19</f>
        <v>65.964412800000005</v>
      </c>
      <c r="E25">
        <f>0.02508*1.3</f>
        <v>3.2604000000000001E-2</v>
      </c>
    </row>
    <row r="26" spans="1:6" ht="15.75" x14ac:dyDescent="0.25">
      <c r="A26" s="213" t="s">
        <v>174</v>
      </c>
      <c r="B26" s="213"/>
      <c r="C26" s="185">
        <f>E26*D19</f>
        <v>405.44927999999999</v>
      </c>
      <c r="D26" s="184"/>
      <c r="E26" s="184">
        <f>0.2004</f>
        <v>0.20039999999999999</v>
      </c>
    </row>
    <row r="27" spans="1:6" ht="15.75" x14ac:dyDescent="0.25">
      <c r="A27" s="187" t="s">
        <v>430</v>
      </c>
      <c r="B27">
        <v>4.0490860953944829E-2</v>
      </c>
      <c r="C27" s="185">
        <f>B27*D19</f>
        <v>81.921109882021184</v>
      </c>
      <c r="D27" s="184"/>
      <c r="E27" s="184"/>
    </row>
    <row r="28" spans="1:6" ht="15.75" x14ac:dyDescent="0.25">
      <c r="A28" s="209" t="s">
        <v>175</v>
      </c>
      <c r="B28" s="209"/>
      <c r="C28" s="93">
        <f>SUM(C21:C27)</f>
        <v>2028.8693866820213</v>
      </c>
    </row>
    <row r="29" spans="1:6" ht="16.5" thickBot="1" x14ac:dyDescent="0.3">
      <c r="A29" s="94" t="s">
        <v>176</v>
      </c>
      <c r="B29" s="188">
        <v>9.0999999999999998E-2</v>
      </c>
      <c r="C29" s="95">
        <f>B29*C28</f>
        <v>184.62711418806393</v>
      </c>
    </row>
    <row r="30" spans="1:6" ht="16.5" thickBot="1" x14ac:dyDescent="0.3">
      <c r="A30" s="94" t="s">
        <v>177</v>
      </c>
      <c r="B30" s="188">
        <v>5.8999999999999997E-2</v>
      </c>
      <c r="C30" s="95">
        <f>B30*C28</f>
        <v>119.70329381423925</v>
      </c>
    </row>
    <row r="31" spans="1:6" ht="15.75" x14ac:dyDescent="0.25">
      <c r="A31" s="96" t="s">
        <v>178</v>
      </c>
      <c r="B31" s="97">
        <f>SUM(B32:B35)</f>
        <v>0.14250000000000002</v>
      </c>
      <c r="C31" s="98">
        <f t="shared" ref="C31:C32" si="1">((C$28+C$29+C$30)/(1-($B$31)))*$B31</f>
        <v>387.73291048689947</v>
      </c>
    </row>
    <row r="32" spans="1:6" ht="15.75" x14ac:dyDescent="0.25">
      <c r="A32" s="99" t="s">
        <v>179</v>
      </c>
      <c r="B32" s="97">
        <v>9.2499999999999999E-2</v>
      </c>
      <c r="C32" s="98">
        <f t="shared" si="1"/>
        <v>251.68627522833822</v>
      </c>
    </row>
    <row r="33" spans="1:3" ht="15.75" x14ac:dyDescent="0.25">
      <c r="A33" s="99" t="s">
        <v>180</v>
      </c>
      <c r="B33" s="97">
        <v>0</v>
      </c>
      <c r="C33" s="100"/>
    </row>
    <row r="34" spans="1:3" ht="15.75" x14ac:dyDescent="0.25">
      <c r="A34" s="99" t="s">
        <v>181</v>
      </c>
      <c r="B34" s="97">
        <v>0.05</v>
      </c>
      <c r="C34" s="98">
        <f>((C$28+C$29+C$30)/(1-($B$31)))*$B34</f>
        <v>136.0466352585612</v>
      </c>
    </row>
    <row r="35" spans="1:3" ht="15.75" x14ac:dyDescent="0.25">
      <c r="A35" s="99" t="s">
        <v>182</v>
      </c>
      <c r="B35" s="97">
        <v>0</v>
      </c>
      <c r="C35" s="98"/>
    </row>
    <row r="36" spans="1:3" ht="15.75" x14ac:dyDescent="0.25">
      <c r="A36" s="210" t="s">
        <v>383</v>
      </c>
      <c r="B36" s="210"/>
      <c r="C36" s="102">
        <f>C28+C29+C30+C31</f>
        <v>2720.9327051712239</v>
      </c>
    </row>
    <row r="37" spans="1:3" ht="15.75" x14ac:dyDescent="0.25">
      <c r="A37" s="210" t="s">
        <v>183</v>
      </c>
      <c r="B37" s="210"/>
      <c r="C37" s="102">
        <f>C36/D19</f>
        <v>1.3448659080522063</v>
      </c>
    </row>
    <row r="38" spans="1:3" ht="15.75" x14ac:dyDescent="0.25">
      <c r="A38" s="206" t="s">
        <v>184</v>
      </c>
      <c r="B38" s="206"/>
      <c r="C38" s="206"/>
    </row>
    <row r="39" spans="1:3" ht="15.75" x14ac:dyDescent="0.25">
      <c r="A39" s="211" t="s">
        <v>184</v>
      </c>
      <c r="B39" s="211"/>
      <c r="C39" s="90" t="s">
        <v>153</v>
      </c>
    </row>
    <row r="40" spans="1:3" ht="15.75" x14ac:dyDescent="0.25">
      <c r="A40" s="212" t="s">
        <v>382</v>
      </c>
      <c r="B40" s="212"/>
      <c r="C40" s="90">
        <f>C18+(C36)</f>
        <v>9173.845595841778</v>
      </c>
    </row>
    <row r="41" spans="1:3" ht="15.75" x14ac:dyDescent="0.25">
      <c r="A41" s="206"/>
      <c r="B41" s="206"/>
      <c r="C41" s="206"/>
    </row>
    <row r="42" spans="1:3" x14ac:dyDescent="0.25">
      <c r="A42" s="207" t="s">
        <v>185</v>
      </c>
      <c r="B42" s="207"/>
      <c r="C42" s="207"/>
    </row>
    <row r="43" spans="1:3" x14ac:dyDescent="0.25">
      <c r="A43" s="207"/>
      <c r="B43" s="207"/>
      <c r="C43" s="207"/>
    </row>
    <row r="44" spans="1:3" x14ac:dyDescent="0.25">
      <c r="A44" s="207"/>
      <c r="B44" s="207"/>
      <c r="C44" s="207"/>
    </row>
    <row r="45" spans="1:3" ht="15.75" x14ac:dyDescent="0.25">
      <c r="A45" s="208" t="s">
        <v>186</v>
      </c>
      <c r="B45" s="208"/>
      <c r="C45" s="208"/>
    </row>
  </sheetData>
  <mergeCells count="27">
    <mergeCell ref="A7:B7"/>
    <mergeCell ref="A1:C1"/>
    <mergeCell ref="A2:C2"/>
    <mergeCell ref="A4:C4"/>
    <mergeCell ref="A5:B5"/>
    <mergeCell ref="A6:B6"/>
    <mergeCell ref="A26:B26"/>
    <mergeCell ref="A8:B8"/>
    <mergeCell ref="A9:B9"/>
    <mergeCell ref="A10:B10"/>
    <mergeCell ref="A18:B18"/>
    <mergeCell ref="A19:C19"/>
    <mergeCell ref="A20:B20"/>
    <mergeCell ref="A21:B21"/>
    <mergeCell ref="A22:B22"/>
    <mergeCell ref="A23:B23"/>
    <mergeCell ref="A24:B24"/>
    <mergeCell ref="A25:B25"/>
    <mergeCell ref="A41:C41"/>
    <mergeCell ref="A42:C44"/>
    <mergeCell ref="A45:C45"/>
    <mergeCell ref="A28:B28"/>
    <mergeCell ref="A36:B36"/>
    <mergeCell ref="A37:B37"/>
    <mergeCell ref="A38:C38"/>
    <mergeCell ref="A39:B39"/>
    <mergeCell ref="A40:B4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Planilha de Custos Téc. Campo</vt:lpstr>
      <vt:lpstr>Planilha de Custos Téc. Interno</vt:lpstr>
      <vt:lpstr>Planilha de Custos Motorista</vt:lpstr>
      <vt:lpstr>Operador de Logística</vt:lpstr>
      <vt:lpstr>Operador de Rastreamento</vt:lpstr>
      <vt:lpstr>Supervisor de Op.</vt:lpstr>
      <vt:lpstr>Gerente</vt:lpstr>
      <vt:lpstr>Veic.Tipo 1</vt:lpstr>
      <vt:lpstr>Veic.Tipo 2</vt:lpstr>
      <vt:lpstr>Tot. Veíc.</vt:lpstr>
      <vt:lpstr>Empilhadeira</vt:lpstr>
      <vt:lpstr>Enc. Expressa</vt:lpstr>
      <vt:lpstr>Barco</vt:lpstr>
      <vt:lpstr>Sistemas Log.</vt:lpstr>
      <vt:lpstr>Quadro Resumo</vt:lpstr>
      <vt:lpstr>Planilhas de Apoio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rodol</cp:lastModifiedBy>
  <dcterms:created xsi:type="dcterms:W3CDTF">2018-01-23T19:35:16Z</dcterms:created>
  <dcterms:modified xsi:type="dcterms:W3CDTF">2020-11-19T18:30:31Z</dcterms:modified>
</cp:coreProperties>
</file>